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05" yWindow="-105" windowWidth="20640" windowHeight="11760" tabRatio="601" firstSheet="9" activeTab="9"/>
  </bookViews>
  <sheets>
    <sheet name="Note for users" sheetId="82" r:id="rId1"/>
    <sheet name="1.Project Cost and MOF" sheetId="62" r:id="rId2"/>
    <sheet name="2.Capex Details" sheetId="57" r:id="rId3"/>
    <sheet name="4.TL repayment sch" sheetId="23" r:id="rId4"/>
    <sheet name="5.Closing Stock &amp; W Capital" sheetId="61" r:id="rId5"/>
    <sheet name="6.Cons Profit &amp; Loss" sheetId="21" r:id="rId6"/>
    <sheet name="7.Balance Sheet" sheetId="69" r:id="rId7"/>
    <sheet name="8.Cash Flow " sheetId="68" r:id="rId8"/>
    <sheet name="3.Other Exp &amp; Taxes" sheetId="22" r:id="rId9"/>
    <sheet name="10.Grain Production details" sheetId="81" r:id="rId10"/>
    <sheet name="11.F&amp;V Crop Production details" sheetId="83" r:id="rId11"/>
    <sheet name="9. Financial indiacators" sheetId="29" r:id="rId12"/>
    <sheet name="12.Facility 1 - Trading" sheetId="55" state="hidden" r:id="rId13"/>
    <sheet name="17.Facility 6 Horti Processing " sheetId="72" state="hidden" r:id="rId14"/>
    <sheet name="14. Facility 3 Warehouse" sheetId="42" state="hidden" r:id="rId15"/>
    <sheet name="15. Facility 4 Custom Hiring" sheetId="48" state="hidden" r:id="rId16"/>
    <sheet name="16.Facility 5 Agri Input" sheetId="53" state="hidden" r:id="rId17"/>
    <sheet name="13.Facility 2 Grain Processing-" sheetId="84" r:id="rId18"/>
    <sheet name="Input Sheet" sheetId="85" r:id="rId19"/>
  </sheets>
  <externalReferences>
    <externalReference r:id="rId20"/>
    <externalReference r:id="rId21"/>
    <externalReference r:id="rId22"/>
  </externalReferences>
  <definedNames>
    <definedName name="_xlnm.Print_Area" localSheetId="1">'1.Project Cost and MOF'!$A$1:$G$35</definedName>
    <definedName name="_xlnm.Print_Area" localSheetId="9">'10.Grain Production details'!$A$1:$H$114</definedName>
    <definedName name="_xlnm.Print_Area" localSheetId="10">'11.F&amp;V Crop Production details'!$A$1:$H$45</definedName>
    <definedName name="_xlnm.Print_Area" localSheetId="12">'12.Facility 1 - Trading'!$A$1:$J$308</definedName>
    <definedName name="_xlnm.Print_Area" localSheetId="17">'13.Facility 2 Grain Processing-'!$A$1:$H$69,'13.Facility 2 Grain Processing-'!$A$133:$P$353,'13.Facility 2 Grain Processing-'!$A$74:$J$129</definedName>
    <definedName name="_xlnm.Print_Area" localSheetId="14">'14. Facility 3 Warehouse'!$A$1:$J$51</definedName>
    <definedName name="_xlnm.Print_Area" localSheetId="15">'15. Facility 4 Custom Hiring'!$A$1:$K$62</definedName>
    <definedName name="_xlnm.Print_Area" localSheetId="16">'16.Facility 5 Agri Input'!$A$1:$J$280</definedName>
    <definedName name="_xlnm.Print_Area" localSheetId="13">'17.Facility 6 Horti Processing '!$A$3:$H$184</definedName>
    <definedName name="_xlnm.Print_Area" localSheetId="2">'2.Capex Details'!$A$1:$H$123</definedName>
    <definedName name="_xlnm.Print_Area" localSheetId="8">'3.Other Exp &amp; Taxes'!$A$1:$R$97</definedName>
    <definedName name="_xlnm.Print_Area" localSheetId="3">'4.TL repayment sch'!$A$1:$H$95</definedName>
    <definedName name="_xlnm.Print_Area" localSheetId="4">'5.Closing Stock &amp; W Capital'!$A$1:$L$95</definedName>
    <definedName name="_xlnm.Print_Area" localSheetId="5">'6.Cons Profit &amp; Loss'!$A$1:$I$64</definedName>
    <definedName name="_xlnm.Print_Area" localSheetId="6">'7.Balance Sheet'!$A$1:$I$51</definedName>
    <definedName name="_xlnm.Print_Area" localSheetId="7">'8.Cash Flow '!$A$1:$J$38</definedName>
    <definedName name="_xlnm.Print_Area" localSheetId="11">'9. Financial indiacators'!$B$1:$J$183</definedName>
  </definedNames>
  <calcPr calcId="144525"/>
</workbook>
</file>

<file path=xl/calcChain.xml><?xml version="1.0" encoding="utf-8"?>
<calcChain xmlns="http://schemas.openxmlformats.org/spreadsheetml/2006/main">
  <c r="D65" i="81" l="1"/>
  <c r="E65" i="81" s="1"/>
  <c r="F65" i="81" s="1"/>
  <c r="C65" i="81"/>
  <c r="E40" i="81"/>
  <c r="F40" i="81" s="1"/>
  <c r="D40" i="81"/>
  <c r="C40" i="81"/>
  <c r="H16" i="81" l="1"/>
  <c r="F16" i="81"/>
  <c r="I16" i="81"/>
  <c r="D16" i="81"/>
  <c r="H19" i="84"/>
  <c r="H18" i="84"/>
  <c r="G18" i="84"/>
  <c r="G19" i="84"/>
  <c r="G61" i="57"/>
  <c r="M5" i="81" l="1"/>
  <c r="N5" i="81"/>
  <c r="O5" i="81"/>
  <c r="P5" i="81"/>
  <c r="Q5" i="81" s="1"/>
  <c r="L5" i="81"/>
  <c r="K6" i="81"/>
  <c r="L6" i="81" s="1"/>
  <c r="M6" i="81" s="1"/>
  <c r="N6" i="81" s="1"/>
  <c r="O6" i="81" s="1"/>
  <c r="P6" i="81" s="1"/>
  <c r="Q6" i="81" s="1"/>
  <c r="K5" i="81"/>
  <c r="D32" i="83" l="1"/>
  <c r="E32" i="83" s="1"/>
  <c r="F32" i="83" s="1"/>
  <c r="G32" i="83" s="1"/>
  <c r="H32" i="83" s="1"/>
  <c r="C32" i="83"/>
  <c r="D23" i="83"/>
  <c r="E23" i="83"/>
  <c r="F23" i="83" s="1"/>
  <c r="G23" i="83" s="1"/>
  <c r="H23" i="83" s="1"/>
  <c r="C23" i="83"/>
  <c r="C29" i="83"/>
  <c r="D29" i="83"/>
  <c r="E29" i="83"/>
  <c r="F29" i="83"/>
  <c r="G29" i="83"/>
  <c r="H29" i="83"/>
  <c r="C27" i="83"/>
  <c r="D27" i="83"/>
  <c r="E27" i="83"/>
  <c r="F27" i="83"/>
  <c r="G27" i="83"/>
  <c r="H27" i="83"/>
  <c r="G6" i="57" l="1"/>
  <c r="G7" i="57"/>
  <c r="F7" i="57" s="1"/>
  <c r="N12" i="57"/>
  <c r="F6" i="57"/>
  <c r="L7" i="57"/>
  <c r="S59" i="57"/>
  <c r="P65" i="57"/>
  <c r="P63" i="57"/>
  <c r="N63" i="57"/>
  <c r="F14" i="83"/>
  <c r="H14" i="83" s="1"/>
  <c r="G59" i="57" l="1"/>
  <c r="A27" i="83" l="1"/>
  <c r="B27" i="83"/>
  <c r="A28" i="83"/>
  <c r="A29" i="83"/>
  <c r="B29" i="83"/>
  <c r="C360" i="84"/>
  <c r="G60" i="57"/>
  <c r="I60" i="57"/>
  <c r="J7" i="57" l="1"/>
  <c r="J6" i="57"/>
  <c r="C84" i="84"/>
  <c r="L376" i="84"/>
  <c r="L377" i="84" s="1"/>
  <c r="J84" i="84" s="1"/>
  <c r="G376" i="84"/>
  <c r="G377" i="84" s="1"/>
  <c r="E84" i="84" s="1"/>
  <c r="F376" i="84"/>
  <c r="H375" i="84"/>
  <c r="H376" i="84" l="1"/>
  <c r="H377" i="84" s="1"/>
  <c r="F84" i="84" s="1"/>
  <c r="F377" i="84"/>
  <c r="D84" i="84" s="1"/>
  <c r="I375" i="84"/>
  <c r="J375" i="84" l="1"/>
  <c r="J376" i="84" s="1"/>
  <c r="J377" i="84" s="1"/>
  <c r="H84" i="84" s="1"/>
  <c r="I376" i="84"/>
  <c r="I377" i="84" s="1"/>
  <c r="G84" i="84" s="1"/>
  <c r="K375" i="84" l="1"/>
  <c r="K376" i="84" s="1"/>
  <c r="K377" i="84" s="1"/>
  <c r="I84" i="84" s="1"/>
  <c r="AF47" i="61" l="1"/>
  <c r="K208" i="85"/>
  <c r="A25" i="83" l="1"/>
  <c r="D124" i="84" l="1"/>
  <c r="D123" i="84"/>
  <c r="C122" i="84"/>
  <c r="D122" i="84" s="1"/>
  <c r="D121" i="84"/>
  <c r="D120" i="84"/>
  <c r="D119" i="84"/>
  <c r="I32" i="84"/>
  <c r="C152" i="84"/>
  <c r="B151" i="84"/>
  <c r="C226" i="84"/>
  <c r="B220" i="84"/>
  <c r="B206" i="84"/>
  <c r="C206" i="84"/>
  <c r="B195" i="84"/>
  <c r="C196" i="84"/>
  <c r="C190" i="84"/>
  <c r="I43" i="84"/>
  <c r="B66" i="84"/>
  <c r="A43" i="84"/>
  <c r="C203" i="84" l="1"/>
  <c r="A33" i="84"/>
  <c r="A32" i="84"/>
  <c r="M127" i="84" l="1"/>
  <c r="D151" i="85" l="1"/>
  <c r="D150" i="85"/>
  <c r="D147" i="85"/>
  <c r="E147" i="85" s="1"/>
  <c r="F147" i="85" s="1"/>
  <c r="G147" i="85" s="1"/>
  <c r="H147" i="85" s="1"/>
  <c r="I147" i="85" s="1"/>
  <c r="J147" i="85" s="1"/>
  <c r="K147" i="85" s="1"/>
  <c r="L147" i="85" s="1"/>
  <c r="D146" i="85"/>
  <c r="D143" i="85"/>
  <c r="D142" i="85"/>
  <c r="D136" i="85"/>
  <c r="D135" i="85"/>
  <c r="B151" i="85"/>
  <c r="B150" i="85"/>
  <c r="B149" i="85"/>
  <c r="B147" i="85"/>
  <c r="B146" i="85"/>
  <c r="B145" i="85"/>
  <c r="B143" i="85"/>
  <c r="B142" i="85"/>
  <c r="B141" i="85"/>
  <c r="B136" i="85"/>
  <c r="B135" i="85"/>
  <c r="B134" i="85"/>
  <c r="D122" i="85"/>
  <c r="E122" i="85" s="1"/>
  <c r="F122" i="85" s="1"/>
  <c r="G122" i="85" s="1"/>
  <c r="H122" i="85" s="1"/>
  <c r="I122" i="85" s="1"/>
  <c r="J122" i="85" s="1"/>
  <c r="K122" i="85" s="1"/>
  <c r="L122" i="85" s="1"/>
  <c r="D114" i="85"/>
  <c r="E114" i="85" s="1"/>
  <c r="F114" i="85" s="1"/>
  <c r="G114" i="85" s="1"/>
  <c r="H114" i="85" s="1"/>
  <c r="I114" i="85" s="1"/>
  <c r="J114" i="85" s="1"/>
  <c r="K114" i="85" s="1"/>
  <c r="L114" i="85" s="1"/>
  <c r="D113" i="85"/>
  <c r="B23" i="84"/>
  <c r="E113" i="85" l="1"/>
  <c r="D206" i="84"/>
  <c r="D152" i="84"/>
  <c r="E150" i="85"/>
  <c r="E151" i="85"/>
  <c r="E146" i="85"/>
  <c r="E135" i="85"/>
  <c r="E136" i="85"/>
  <c r="E143" i="85"/>
  <c r="E142" i="85"/>
  <c r="A39" i="69"/>
  <c r="B8" i="68" s="1"/>
  <c r="K43" i="69"/>
  <c r="K41" i="69"/>
  <c r="K37" i="69"/>
  <c r="K36" i="69"/>
  <c r="K33" i="69"/>
  <c r="K31" i="69"/>
  <c r="K30" i="69"/>
  <c r="K27" i="69"/>
  <c r="K24" i="69"/>
  <c r="K23" i="69"/>
  <c r="K22" i="69"/>
  <c r="K20" i="69"/>
  <c r="K17" i="69"/>
  <c r="K13" i="69"/>
  <c r="K10" i="69"/>
  <c r="F113" i="85" l="1"/>
  <c r="E206" i="84"/>
  <c r="E152" i="84"/>
  <c r="F150" i="85"/>
  <c r="F151" i="85"/>
  <c r="F146" i="85"/>
  <c r="F135" i="85"/>
  <c r="F136" i="85"/>
  <c r="F143" i="85"/>
  <c r="F142" i="85"/>
  <c r="Q85" i="22"/>
  <c r="G113" i="85" l="1"/>
  <c r="F152" i="84"/>
  <c r="F206" i="84"/>
  <c r="G150" i="85"/>
  <c r="G151" i="85"/>
  <c r="G146" i="85"/>
  <c r="G135" i="85"/>
  <c r="G136" i="85"/>
  <c r="G143" i="85"/>
  <c r="G142" i="85"/>
  <c r="H113" i="85" l="1"/>
  <c r="G152" i="84"/>
  <c r="G206" i="84"/>
  <c r="H150" i="85"/>
  <c r="H151" i="85"/>
  <c r="H146" i="85"/>
  <c r="H135" i="85"/>
  <c r="H136" i="85"/>
  <c r="H143" i="85"/>
  <c r="H142" i="85"/>
  <c r="C176" i="84"/>
  <c r="I113" i="85" l="1"/>
  <c r="H206" i="84"/>
  <c r="H152" i="84"/>
  <c r="I150" i="85"/>
  <c r="I151" i="85"/>
  <c r="I146" i="85"/>
  <c r="I135" i="85"/>
  <c r="I136" i="85"/>
  <c r="I143" i="85"/>
  <c r="I142" i="85"/>
  <c r="D181" i="72"/>
  <c r="D180" i="72"/>
  <c r="J175" i="72"/>
  <c r="I175" i="72"/>
  <c r="H175" i="72"/>
  <c r="G175" i="72"/>
  <c r="F175" i="72"/>
  <c r="E175" i="72"/>
  <c r="D175" i="72"/>
  <c r="J174" i="72"/>
  <c r="I174" i="72"/>
  <c r="H174" i="72"/>
  <c r="G174" i="72"/>
  <c r="F174" i="72"/>
  <c r="E174" i="72"/>
  <c r="B166" i="72"/>
  <c r="A156" i="72"/>
  <c r="A155" i="72"/>
  <c r="A154" i="72"/>
  <c r="E149" i="72"/>
  <c r="E180" i="72" s="1"/>
  <c r="B41" i="72"/>
  <c r="C40" i="72"/>
  <c r="D40" i="72" s="1"/>
  <c r="H37" i="72"/>
  <c r="H65" i="72" s="1"/>
  <c r="G37" i="72"/>
  <c r="G65" i="72" s="1"/>
  <c r="F37" i="72"/>
  <c r="F65" i="72" s="1"/>
  <c r="E37" i="72"/>
  <c r="E65" i="72" s="1"/>
  <c r="D37" i="72"/>
  <c r="D65" i="72" s="1"/>
  <c r="C37" i="72"/>
  <c r="C65" i="72" s="1"/>
  <c r="B37" i="72"/>
  <c r="B65" i="72" s="1"/>
  <c r="A37" i="72"/>
  <c r="A65" i="72" s="1"/>
  <c r="A135" i="72" s="1"/>
  <c r="H36" i="72"/>
  <c r="H64" i="72" s="1"/>
  <c r="G36" i="72"/>
  <c r="G64" i="72" s="1"/>
  <c r="F36" i="72"/>
  <c r="F64" i="72" s="1"/>
  <c r="E36" i="72"/>
  <c r="E64" i="72" s="1"/>
  <c r="D36" i="72"/>
  <c r="D64" i="72" s="1"/>
  <c r="C36" i="72"/>
  <c r="C64" i="72" s="1"/>
  <c r="B36" i="72"/>
  <c r="B64" i="72" s="1"/>
  <c r="A36" i="72"/>
  <c r="A64" i="72" s="1"/>
  <c r="A131" i="72" s="1"/>
  <c r="H35" i="72"/>
  <c r="H63" i="72" s="1"/>
  <c r="G35" i="72"/>
  <c r="G63" i="72" s="1"/>
  <c r="F35" i="72"/>
  <c r="F63" i="72" s="1"/>
  <c r="E35" i="72"/>
  <c r="E63" i="72" s="1"/>
  <c r="D35" i="72"/>
  <c r="D63" i="72" s="1"/>
  <c r="C35" i="72"/>
  <c r="C63" i="72" s="1"/>
  <c r="B35" i="72"/>
  <c r="B63" i="72" s="1"/>
  <c r="A35" i="72"/>
  <c r="A63" i="72" s="1"/>
  <c r="A127" i="72" s="1"/>
  <c r="H34" i="72"/>
  <c r="H62" i="72" s="1"/>
  <c r="G34" i="72"/>
  <c r="G62" i="72" s="1"/>
  <c r="F34" i="72"/>
  <c r="F62" i="72" s="1"/>
  <c r="E34" i="72"/>
  <c r="E62" i="72" s="1"/>
  <c r="D34" i="72"/>
  <c r="D62" i="72" s="1"/>
  <c r="C34" i="72"/>
  <c r="C62" i="72" s="1"/>
  <c r="B34" i="72"/>
  <c r="B62" i="72" s="1"/>
  <c r="A34" i="72"/>
  <c r="A62" i="72" s="1"/>
  <c r="A123" i="72" s="1"/>
  <c r="H33" i="72"/>
  <c r="G33" i="72"/>
  <c r="F33" i="72"/>
  <c r="E33" i="72"/>
  <c r="D33" i="72"/>
  <c r="C33" i="72"/>
  <c r="B33" i="72"/>
  <c r="A33" i="72"/>
  <c r="H32" i="72"/>
  <c r="G32" i="72"/>
  <c r="F32" i="72"/>
  <c r="E32" i="72"/>
  <c r="D32" i="72"/>
  <c r="C32" i="72"/>
  <c r="B32" i="72"/>
  <c r="A32" i="72"/>
  <c r="H31" i="72"/>
  <c r="G31" i="72"/>
  <c r="F31" i="72"/>
  <c r="E31" i="72"/>
  <c r="D31" i="72"/>
  <c r="C31" i="72"/>
  <c r="B31" i="72"/>
  <c r="A31" i="72"/>
  <c r="H30" i="72"/>
  <c r="G30" i="72"/>
  <c r="F30" i="72"/>
  <c r="E30" i="72"/>
  <c r="D30" i="72"/>
  <c r="C30" i="72"/>
  <c r="B30" i="72"/>
  <c r="B61" i="72" s="1"/>
  <c r="A30" i="72"/>
  <c r="A61" i="72" s="1"/>
  <c r="A122" i="72" s="1"/>
  <c r="H29" i="72"/>
  <c r="G29" i="72"/>
  <c r="F29" i="72"/>
  <c r="E29" i="72"/>
  <c r="D29" i="72"/>
  <c r="C29" i="72"/>
  <c r="B29" i="72"/>
  <c r="B60" i="72" s="1"/>
  <c r="A29" i="72"/>
  <c r="A60" i="72" s="1"/>
  <c r="A121" i="72" s="1"/>
  <c r="H28" i="72"/>
  <c r="G28" i="72"/>
  <c r="F28" i="72"/>
  <c r="E28" i="72"/>
  <c r="D28" i="72"/>
  <c r="C28" i="72"/>
  <c r="B28" i="72"/>
  <c r="B59" i="72" s="1"/>
  <c r="A28" i="72"/>
  <c r="A59" i="72" s="1"/>
  <c r="A120" i="72" s="1"/>
  <c r="H27" i="72"/>
  <c r="G27" i="72"/>
  <c r="F27" i="72"/>
  <c r="E27" i="72"/>
  <c r="D27" i="72"/>
  <c r="C27" i="72"/>
  <c r="B27" i="72"/>
  <c r="B58" i="72" s="1"/>
  <c r="A27" i="72"/>
  <c r="A58" i="72" s="1"/>
  <c r="A119" i="72" s="1"/>
  <c r="H26" i="72"/>
  <c r="G26" i="72"/>
  <c r="F26" i="72"/>
  <c r="E26" i="72"/>
  <c r="D26" i="72"/>
  <c r="C26" i="72"/>
  <c r="B26" i="72"/>
  <c r="B57" i="72" s="1"/>
  <c r="A26" i="72"/>
  <c r="A57" i="72" s="1"/>
  <c r="A118" i="72" s="1"/>
  <c r="H25" i="72"/>
  <c r="G25" i="72"/>
  <c r="F25" i="72"/>
  <c r="E25" i="72"/>
  <c r="D25" i="72"/>
  <c r="C25" i="72"/>
  <c r="B25" i="72"/>
  <c r="B56" i="72" s="1"/>
  <c r="A25" i="72"/>
  <c r="A56" i="72" s="1"/>
  <c r="A114" i="72" s="1"/>
  <c r="H24" i="72"/>
  <c r="G24" i="72"/>
  <c r="F24" i="72"/>
  <c r="E24" i="72"/>
  <c r="D24" i="72"/>
  <c r="C24" i="72"/>
  <c r="B24" i="72"/>
  <c r="B55" i="72" s="1"/>
  <c r="A24" i="72"/>
  <c r="A55" i="72" s="1"/>
  <c r="A110" i="72" s="1"/>
  <c r="H23" i="72"/>
  <c r="G23" i="72"/>
  <c r="F23" i="72"/>
  <c r="E23" i="72"/>
  <c r="D23" i="72"/>
  <c r="C23" i="72"/>
  <c r="B23" i="72"/>
  <c r="B54" i="72" s="1"/>
  <c r="A23" i="72"/>
  <c r="A54" i="72" s="1"/>
  <c r="A106" i="72" s="1"/>
  <c r="H22" i="72"/>
  <c r="G22" i="72"/>
  <c r="F22" i="72"/>
  <c r="E22" i="72"/>
  <c r="D22" i="72"/>
  <c r="C22" i="72"/>
  <c r="B22" i="72"/>
  <c r="B53" i="72" s="1"/>
  <c r="A22" i="72"/>
  <c r="A53" i="72" s="1"/>
  <c r="A102" i="72" s="1"/>
  <c r="H21" i="72"/>
  <c r="G21" i="72"/>
  <c r="F21" i="72"/>
  <c r="E21" i="72"/>
  <c r="D21" i="72"/>
  <c r="C21" i="72"/>
  <c r="B21" i="72"/>
  <c r="B52" i="72" s="1"/>
  <c r="A21" i="72"/>
  <c r="A52" i="72" s="1"/>
  <c r="A98" i="72" s="1"/>
  <c r="H20" i="72"/>
  <c r="G20" i="72"/>
  <c r="F20" i="72"/>
  <c r="E20" i="72"/>
  <c r="D20" i="72"/>
  <c r="C20" i="72"/>
  <c r="B20" i="72"/>
  <c r="B51" i="72" s="1"/>
  <c r="A20" i="72"/>
  <c r="A51" i="72" s="1"/>
  <c r="A94" i="72" s="1"/>
  <c r="H19" i="72"/>
  <c r="G19" i="72"/>
  <c r="F19" i="72"/>
  <c r="E19" i="72"/>
  <c r="D19" i="72"/>
  <c r="C19" i="72"/>
  <c r="B19" i="72"/>
  <c r="B50" i="72" s="1"/>
  <c r="A19" i="72"/>
  <c r="A50" i="72" s="1"/>
  <c r="A91" i="72" s="1"/>
  <c r="H18" i="72"/>
  <c r="G18" i="72"/>
  <c r="F18" i="72"/>
  <c r="E18" i="72"/>
  <c r="D18" i="72"/>
  <c r="C18" i="72"/>
  <c r="B18" i="72"/>
  <c r="B49" i="72" s="1"/>
  <c r="A18" i="72"/>
  <c r="A49" i="72" s="1"/>
  <c r="A87" i="72" s="1"/>
  <c r="H17" i="72"/>
  <c r="G17" i="72"/>
  <c r="F17" i="72"/>
  <c r="E17" i="72"/>
  <c r="D17" i="72"/>
  <c r="C17" i="72"/>
  <c r="B17" i="72"/>
  <c r="B48" i="72" s="1"/>
  <c r="A17" i="72"/>
  <c r="A48" i="72" s="1"/>
  <c r="A83" i="72" s="1"/>
  <c r="H16" i="72"/>
  <c r="G16" i="72"/>
  <c r="F16" i="72"/>
  <c r="E16" i="72"/>
  <c r="D16" i="72"/>
  <c r="C16" i="72"/>
  <c r="B16" i="72"/>
  <c r="B47" i="72" s="1"/>
  <c r="A16" i="72"/>
  <c r="A47" i="72" s="1"/>
  <c r="A79" i="72" s="1"/>
  <c r="H15" i="72"/>
  <c r="G15" i="72"/>
  <c r="F15" i="72"/>
  <c r="E15" i="72"/>
  <c r="D15" i="72"/>
  <c r="C15" i="72"/>
  <c r="B15" i="72"/>
  <c r="B46" i="72" s="1"/>
  <c r="A15" i="72"/>
  <c r="A46" i="72" s="1"/>
  <c r="A75" i="72" s="1"/>
  <c r="H14" i="72"/>
  <c r="G14" i="72"/>
  <c r="F14" i="72"/>
  <c r="E14" i="72"/>
  <c r="D14" i="72"/>
  <c r="C14" i="72"/>
  <c r="B14" i="72"/>
  <c r="B45" i="72" s="1"/>
  <c r="A14" i="72"/>
  <c r="A45" i="72" s="1"/>
  <c r="A71" i="72" s="1"/>
  <c r="H13" i="72"/>
  <c r="G13" i="72"/>
  <c r="F13" i="72"/>
  <c r="E13" i="72"/>
  <c r="D13" i="72"/>
  <c r="C13" i="72"/>
  <c r="B13" i="72"/>
  <c r="B44" i="72" s="1"/>
  <c r="A13" i="72"/>
  <c r="A44" i="72" s="1"/>
  <c r="A67" i="72" s="1"/>
  <c r="D118" i="85"/>
  <c r="E118" i="85" s="1"/>
  <c r="F118" i="85" s="1"/>
  <c r="G118" i="85" s="1"/>
  <c r="H118" i="85" s="1"/>
  <c r="I118" i="85" s="1"/>
  <c r="J118" i="85" s="1"/>
  <c r="K118" i="85" s="1"/>
  <c r="L118" i="85" s="1"/>
  <c r="F149" i="72" l="1"/>
  <c r="F180" i="72" s="1"/>
  <c r="E181" i="72"/>
  <c r="E185" i="72" s="1"/>
  <c r="D185" i="72"/>
  <c r="J113" i="85"/>
  <c r="K113" i="85" s="1"/>
  <c r="L113" i="85" s="1"/>
  <c r="I206" i="84"/>
  <c r="I152" i="84"/>
  <c r="J150" i="85"/>
  <c r="K150" i="85" s="1"/>
  <c r="L150" i="85" s="1"/>
  <c r="J151" i="85"/>
  <c r="K151" i="85" s="1"/>
  <c r="L151" i="85" s="1"/>
  <c r="J146" i="85"/>
  <c r="K146" i="85" s="1"/>
  <c r="L146" i="85" s="1"/>
  <c r="J135" i="85"/>
  <c r="K135" i="85" s="1"/>
  <c r="L135" i="85" s="1"/>
  <c r="J136" i="85"/>
  <c r="K136" i="85" s="1"/>
  <c r="L136" i="85" s="1"/>
  <c r="J143" i="85"/>
  <c r="K143" i="85" s="1"/>
  <c r="L143" i="85" s="1"/>
  <c r="J142" i="85"/>
  <c r="K142" i="85" s="1"/>
  <c r="L142" i="85" s="1"/>
  <c r="E40" i="72"/>
  <c r="D41" i="72"/>
  <c r="D44" i="72" s="1"/>
  <c r="D163" i="72"/>
  <c r="B126" i="72"/>
  <c r="B143" i="72" s="1"/>
  <c r="D156" i="72" s="1"/>
  <c r="D164" i="72"/>
  <c r="B124" i="72"/>
  <c r="B141" i="72" s="1"/>
  <c r="D167" i="72"/>
  <c r="B125" i="72"/>
  <c r="B142" i="72" s="1"/>
  <c r="D155" i="72" s="1"/>
  <c r="F126" i="72"/>
  <c r="F143" i="72" s="1"/>
  <c r="F124" i="72"/>
  <c r="F141" i="72" s="1"/>
  <c r="F125" i="72"/>
  <c r="F142" i="72" s="1"/>
  <c r="D47" i="72"/>
  <c r="D51" i="72"/>
  <c r="D55" i="72"/>
  <c r="D59" i="72"/>
  <c r="D124" i="72"/>
  <c r="D141" i="72" s="1"/>
  <c r="F167" i="72"/>
  <c r="D125" i="72"/>
  <c r="D142" i="72" s="1"/>
  <c r="F163" i="72"/>
  <c r="D126" i="72"/>
  <c r="D143" i="72" s="1"/>
  <c r="F164" i="72"/>
  <c r="H124" i="72"/>
  <c r="H141" i="72" s="1"/>
  <c r="H125" i="72"/>
  <c r="H142" i="72" s="1"/>
  <c r="H126" i="72"/>
  <c r="H143" i="72" s="1"/>
  <c r="E164" i="72"/>
  <c r="C124" i="72"/>
  <c r="C141" i="72" s="1"/>
  <c r="E167" i="72"/>
  <c r="C125" i="72"/>
  <c r="C142" i="72" s="1"/>
  <c r="E163" i="72"/>
  <c r="C126" i="72"/>
  <c r="C143" i="72" s="1"/>
  <c r="G124" i="72"/>
  <c r="G141" i="72" s="1"/>
  <c r="G125" i="72"/>
  <c r="G142" i="72" s="1"/>
  <c r="G126" i="72"/>
  <c r="G143" i="72" s="1"/>
  <c r="D39" i="72"/>
  <c r="H39" i="72"/>
  <c r="C41" i="72"/>
  <c r="C45" i="72" s="1"/>
  <c r="E39" i="72"/>
  <c r="E125" i="72"/>
  <c r="E142" i="72" s="1"/>
  <c r="E126" i="72"/>
  <c r="E143" i="72" s="1"/>
  <c r="E124" i="72"/>
  <c r="E141" i="72" s="1"/>
  <c r="B39" i="72"/>
  <c r="F39" i="72"/>
  <c r="C39" i="72"/>
  <c r="G39" i="72"/>
  <c r="G149" i="72"/>
  <c r="G164" i="72" s="1"/>
  <c r="F181" i="72"/>
  <c r="F185" i="72" s="1"/>
  <c r="L208" i="85"/>
  <c r="C58" i="72" l="1"/>
  <c r="C50" i="72"/>
  <c r="C48" i="72"/>
  <c r="G167" i="72"/>
  <c r="C56" i="72"/>
  <c r="D58" i="72"/>
  <c r="D54" i="72"/>
  <c r="D50" i="72"/>
  <c r="D46" i="72"/>
  <c r="C46" i="72"/>
  <c r="C54" i="72"/>
  <c r="D61" i="72"/>
  <c r="D57" i="72"/>
  <c r="D53" i="72"/>
  <c r="D49" i="72"/>
  <c r="D45" i="72"/>
  <c r="C44" i="72"/>
  <c r="C60" i="72"/>
  <c r="C52" i="72"/>
  <c r="D60" i="72"/>
  <c r="D56" i="72"/>
  <c r="D52" i="72"/>
  <c r="D48" i="72"/>
  <c r="E168" i="72"/>
  <c r="G156" i="72"/>
  <c r="F155" i="72"/>
  <c r="E155" i="72"/>
  <c r="E156" i="72"/>
  <c r="F12" i="72"/>
  <c r="E41" i="72"/>
  <c r="F40" i="72"/>
  <c r="F42" i="72" s="1"/>
  <c r="F168" i="72"/>
  <c r="G181" i="72"/>
  <c r="G168" i="72"/>
  <c r="G169" i="72"/>
  <c r="H149" i="72"/>
  <c r="H155" i="72" s="1"/>
  <c r="G180" i="72"/>
  <c r="G185" i="72" s="1"/>
  <c r="C42" i="72"/>
  <c r="C12" i="72"/>
  <c r="B12" i="72"/>
  <c r="B42" i="72"/>
  <c r="G163" i="72"/>
  <c r="D168" i="72"/>
  <c r="D169" i="72"/>
  <c r="D154" i="72"/>
  <c r="D159" i="72" s="1"/>
  <c r="G12" i="72"/>
  <c r="F169" i="72"/>
  <c r="G154" i="72"/>
  <c r="G155" i="72"/>
  <c r="C61" i="72"/>
  <c r="C59" i="72"/>
  <c r="C57" i="72"/>
  <c r="C55" i="72"/>
  <c r="C53" i="72"/>
  <c r="C51" i="72"/>
  <c r="C49" i="72"/>
  <c r="F156" i="72"/>
  <c r="F154" i="72"/>
  <c r="C47" i="72"/>
  <c r="D12" i="72"/>
  <c r="D42" i="72"/>
  <c r="E12" i="72"/>
  <c r="E42" i="72"/>
  <c r="H12" i="72"/>
  <c r="E169" i="72"/>
  <c r="E154" i="72"/>
  <c r="H154" i="72"/>
  <c r="D126" i="85"/>
  <c r="D170" i="85"/>
  <c r="E170" i="85" s="1"/>
  <c r="F170" i="85" s="1"/>
  <c r="G170" i="85" s="1"/>
  <c r="H170" i="85" s="1"/>
  <c r="I170" i="85" s="1"/>
  <c r="B127" i="85"/>
  <c r="B126" i="85"/>
  <c r="B125" i="85"/>
  <c r="B119" i="85"/>
  <c r="B118" i="85"/>
  <c r="B117" i="85"/>
  <c r="B112" i="85"/>
  <c r="B111" i="85"/>
  <c r="B110" i="85"/>
  <c r="E159" i="72" l="1"/>
  <c r="F159" i="72"/>
  <c r="D166" i="72"/>
  <c r="D165" i="72"/>
  <c r="H168" i="72"/>
  <c r="H169" i="72"/>
  <c r="I149" i="72"/>
  <c r="H180" i="72"/>
  <c r="H185" i="72" s="1"/>
  <c r="H181" i="72"/>
  <c r="H163" i="72"/>
  <c r="H167" i="72"/>
  <c r="H164" i="72"/>
  <c r="F166" i="72"/>
  <c r="F165" i="72"/>
  <c r="I165" i="72"/>
  <c r="I166" i="72"/>
  <c r="E165" i="72"/>
  <c r="E166" i="72"/>
  <c r="F41" i="72"/>
  <c r="G40" i="72"/>
  <c r="H166" i="72"/>
  <c r="H165" i="72"/>
  <c r="G165" i="72"/>
  <c r="G166" i="72"/>
  <c r="G159" i="72"/>
  <c r="H156" i="72"/>
  <c r="H159" i="72" s="1"/>
  <c r="E44" i="72"/>
  <c r="E50" i="72"/>
  <c r="E54" i="72"/>
  <c r="E58" i="72"/>
  <c r="E53" i="72"/>
  <c r="E45" i="72"/>
  <c r="E47" i="72"/>
  <c r="E51" i="72"/>
  <c r="E55" i="72"/>
  <c r="E59" i="72"/>
  <c r="E49" i="72"/>
  <c r="E61" i="72"/>
  <c r="E46" i="72"/>
  <c r="E48" i="72"/>
  <c r="E52" i="72"/>
  <c r="E56" i="72"/>
  <c r="E60" i="72"/>
  <c r="E57" i="72"/>
  <c r="E126" i="85"/>
  <c r="E177" i="72" l="1"/>
  <c r="E186" i="72" s="1"/>
  <c r="E188" i="72" s="1"/>
  <c r="G177" i="72"/>
  <c r="G186" i="72" s="1"/>
  <c r="G188" i="72" s="1"/>
  <c r="D177" i="72"/>
  <c r="D186" i="72" s="1"/>
  <c r="D188" i="72" s="1"/>
  <c r="H177" i="72"/>
  <c r="H186" i="72" s="1"/>
  <c r="H188" i="72" s="1"/>
  <c r="H40" i="72"/>
  <c r="G41" i="72"/>
  <c r="G42" i="72"/>
  <c r="F47" i="72"/>
  <c r="F51" i="72"/>
  <c r="F55" i="72"/>
  <c r="F59" i="72"/>
  <c r="F50" i="72"/>
  <c r="F54" i="72"/>
  <c r="F44" i="72"/>
  <c r="F48" i="72"/>
  <c r="F52" i="72"/>
  <c r="F56" i="72"/>
  <c r="F60" i="72"/>
  <c r="F46" i="72"/>
  <c r="F58" i="72"/>
  <c r="F45" i="72"/>
  <c r="F49" i="72"/>
  <c r="F53" i="72"/>
  <c r="F57" i="72"/>
  <c r="F61" i="72"/>
  <c r="F177" i="72"/>
  <c r="F186" i="72" s="1"/>
  <c r="F188" i="72" s="1"/>
  <c r="I169" i="72"/>
  <c r="J149" i="72"/>
  <c r="I180" i="72"/>
  <c r="I181" i="72"/>
  <c r="I168" i="72"/>
  <c r="I164" i="72"/>
  <c r="I163" i="72"/>
  <c r="I167" i="72"/>
  <c r="I155" i="72"/>
  <c r="I156" i="72"/>
  <c r="I154" i="72"/>
  <c r="F126" i="85"/>
  <c r="I185" i="72" l="1"/>
  <c r="I159" i="72"/>
  <c r="I177" i="72"/>
  <c r="I186" i="72" s="1"/>
  <c r="G44" i="72"/>
  <c r="G46" i="72"/>
  <c r="G48" i="72"/>
  <c r="G50" i="72"/>
  <c r="G52" i="72"/>
  <c r="G54" i="72"/>
  <c r="G56" i="72"/>
  <c r="G58" i="72"/>
  <c r="G60" i="72"/>
  <c r="G45" i="72"/>
  <c r="G47" i="72"/>
  <c r="G49" i="72"/>
  <c r="G51" i="72"/>
  <c r="G53" i="72"/>
  <c r="G55" i="72"/>
  <c r="G57" i="72"/>
  <c r="G59" i="72"/>
  <c r="G61" i="72"/>
  <c r="J180" i="72"/>
  <c r="J181" i="72"/>
  <c r="J168" i="72"/>
  <c r="J169" i="72"/>
  <c r="J167" i="72"/>
  <c r="J164" i="72"/>
  <c r="J163" i="72"/>
  <c r="J154" i="72"/>
  <c r="J155" i="72"/>
  <c r="J156" i="72"/>
  <c r="J166" i="72"/>
  <c r="J165" i="72"/>
  <c r="H41" i="72"/>
  <c r="H42" i="72"/>
  <c r="G126" i="85"/>
  <c r="J185" i="72" l="1"/>
  <c r="I188" i="72"/>
  <c r="H45" i="72"/>
  <c r="H47" i="72"/>
  <c r="H49" i="72"/>
  <c r="H51" i="72"/>
  <c r="H53" i="72"/>
  <c r="H55" i="72"/>
  <c r="H57" i="72"/>
  <c r="H59" i="72"/>
  <c r="H61" i="72"/>
  <c r="H44" i="72"/>
  <c r="H46" i="72"/>
  <c r="H48" i="72"/>
  <c r="H50" i="72"/>
  <c r="H52" i="72"/>
  <c r="H54" i="72"/>
  <c r="H56" i="72"/>
  <c r="H58" i="72"/>
  <c r="H60" i="72"/>
  <c r="J159" i="72"/>
  <c r="J177" i="72"/>
  <c r="J186" i="72" s="1"/>
  <c r="H126" i="85"/>
  <c r="J188" i="72" l="1"/>
  <c r="I126" i="85"/>
  <c r="J126" i="85" l="1"/>
  <c r="K126" i="85" s="1"/>
  <c r="L126" i="85" s="1"/>
  <c r="G58" i="57" l="1"/>
  <c r="G62" i="57" s="1"/>
  <c r="I58" i="57" l="1"/>
  <c r="J6" i="62"/>
  <c r="E223" i="85" l="1"/>
  <c r="D365" i="84" s="1"/>
  <c r="E220" i="85"/>
  <c r="D360" i="84" s="1"/>
  <c r="C365" i="84"/>
  <c r="E222" i="85"/>
  <c r="F222" i="85" s="1"/>
  <c r="G222" i="85" s="1"/>
  <c r="H222" i="85" s="1"/>
  <c r="I222" i="85" s="1"/>
  <c r="J222" i="85" s="1"/>
  <c r="C358" i="84"/>
  <c r="E219" i="85"/>
  <c r="F219" i="85" s="1"/>
  <c r="G219" i="85" s="1"/>
  <c r="H219" i="85" s="1"/>
  <c r="I219" i="85" s="1"/>
  <c r="J219" i="85" s="1"/>
  <c r="I358" i="84" s="1"/>
  <c r="D363" i="84"/>
  <c r="E363" i="84" s="1"/>
  <c r="B208" i="85"/>
  <c r="B214" i="85" s="1"/>
  <c r="E206" i="85"/>
  <c r="E204" i="85"/>
  <c r="D198" i="85"/>
  <c r="E198" i="85" s="1"/>
  <c r="F198" i="85" s="1"/>
  <c r="G198" i="85" s="1"/>
  <c r="H198" i="85" s="1"/>
  <c r="I198" i="85" s="1"/>
  <c r="F193" i="85"/>
  <c r="H192" i="85"/>
  <c r="H191" i="85"/>
  <c r="H190" i="85"/>
  <c r="H189" i="85"/>
  <c r="H188" i="85"/>
  <c r="H187" i="85"/>
  <c r="H186" i="85"/>
  <c r="H184" i="85"/>
  <c r="H183" i="85"/>
  <c r="H182" i="85"/>
  <c r="H181" i="85"/>
  <c r="H180" i="85"/>
  <c r="H179" i="85"/>
  <c r="H178" i="85"/>
  <c r="A339" i="84"/>
  <c r="A327" i="84"/>
  <c r="A315" i="84"/>
  <c r="A303" i="84"/>
  <c r="A290" i="84"/>
  <c r="B158" i="84"/>
  <c r="B138" i="84"/>
  <c r="B346" i="84"/>
  <c r="B334" i="84"/>
  <c r="B322" i="84"/>
  <c r="D99" i="85"/>
  <c r="C322" i="84" s="1"/>
  <c r="B310" i="84"/>
  <c r="B297" i="84"/>
  <c r="C244" i="84"/>
  <c r="B244" i="84"/>
  <c r="H244" i="84"/>
  <c r="B237" i="84"/>
  <c r="B233" i="84"/>
  <c r="D125" i="85"/>
  <c r="B174" i="84"/>
  <c r="C204" i="84"/>
  <c r="C205" i="84"/>
  <c r="D140" i="85"/>
  <c r="D139" i="85"/>
  <c r="D132" i="85"/>
  <c r="D131" i="85"/>
  <c r="D130" i="85"/>
  <c r="D117" i="85"/>
  <c r="D112" i="85"/>
  <c r="D205" i="84" s="1"/>
  <c r="D111" i="85"/>
  <c r="E111" i="85" s="1"/>
  <c r="D110" i="85"/>
  <c r="D203" i="84" s="1"/>
  <c r="D104" i="85"/>
  <c r="C23" i="84" s="1"/>
  <c r="D101" i="85"/>
  <c r="E101" i="85" s="1"/>
  <c r="F101" i="85" s="1"/>
  <c r="G101" i="85" s="1"/>
  <c r="H101" i="85" s="1"/>
  <c r="I101" i="85" s="1"/>
  <c r="J101" i="85" s="1"/>
  <c r="K101" i="85" s="1"/>
  <c r="L101" i="85" s="1"/>
  <c r="D100" i="85"/>
  <c r="E100" i="85" s="1"/>
  <c r="F100" i="85" s="1"/>
  <c r="G100" i="85" s="1"/>
  <c r="H100" i="85" s="1"/>
  <c r="I100" i="85" s="1"/>
  <c r="J100" i="85" s="1"/>
  <c r="K100" i="85" s="1"/>
  <c r="L100" i="85" s="1"/>
  <c r="D98" i="85"/>
  <c r="E98" i="85" s="1"/>
  <c r="F98" i="85" s="1"/>
  <c r="G98" i="85" s="1"/>
  <c r="H98" i="85" s="1"/>
  <c r="I98" i="85" s="1"/>
  <c r="J98" i="85" s="1"/>
  <c r="K98" i="85" s="1"/>
  <c r="L98" i="85" s="1"/>
  <c r="D97" i="85"/>
  <c r="E97" i="85" s="1"/>
  <c r="F97" i="85" s="1"/>
  <c r="G97" i="85" s="1"/>
  <c r="H97" i="85" s="1"/>
  <c r="I97" i="85" s="1"/>
  <c r="J97" i="85" s="1"/>
  <c r="K97" i="85" s="1"/>
  <c r="L97" i="85" s="1"/>
  <c r="D96" i="85"/>
  <c r="E96" i="85" s="1"/>
  <c r="F96" i="85" s="1"/>
  <c r="G96" i="85" s="1"/>
  <c r="H96" i="85" s="1"/>
  <c r="I96" i="85" s="1"/>
  <c r="J96" i="85" s="1"/>
  <c r="K96" i="85" s="1"/>
  <c r="L96" i="85" s="1"/>
  <c r="D26" i="85"/>
  <c r="D25" i="85"/>
  <c r="I42" i="84"/>
  <c r="I41" i="84"/>
  <c r="I40" i="84"/>
  <c r="I47" i="84"/>
  <c r="I46" i="84"/>
  <c r="I45" i="84"/>
  <c r="I52" i="84"/>
  <c r="I51" i="84"/>
  <c r="I50" i="84"/>
  <c r="I57" i="84"/>
  <c r="I56" i="84"/>
  <c r="I55" i="84"/>
  <c r="I62" i="84"/>
  <c r="I61" i="84"/>
  <c r="I60" i="84"/>
  <c r="A59" i="84"/>
  <c r="A60" i="84"/>
  <c r="A61" i="84"/>
  <c r="A62" i="84"/>
  <c r="A54" i="84"/>
  <c r="A57" i="84"/>
  <c r="A56" i="84"/>
  <c r="A55" i="84"/>
  <c r="A49" i="84"/>
  <c r="A52" i="84"/>
  <c r="A51" i="84"/>
  <c r="A50" i="84"/>
  <c r="A47" i="84"/>
  <c r="A46" i="84"/>
  <c r="A45" i="84"/>
  <c r="A44" i="84"/>
  <c r="A42" i="84"/>
  <c r="A41" i="84"/>
  <c r="A40" i="84"/>
  <c r="A39" i="84"/>
  <c r="I36" i="84"/>
  <c r="I35" i="84"/>
  <c r="I34" i="84"/>
  <c r="I33" i="84"/>
  <c r="A36" i="84"/>
  <c r="A35" i="84"/>
  <c r="A34" i="84"/>
  <c r="E131" i="85" l="1"/>
  <c r="E130" i="85"/>
  <c r="E125" i="85"/>
  <c r="F358" i="84"/>
  <c r="G358" i="84"/>
  <c r="D358" i="84"/>
  <c r="H358" i="84"/>
  <c r="F220" i="85"/>
  <c r="G220" i="85" s="1"/>
  <c r="H220" i="85" s="1"/>
  <c r="I220" i="85" s="1"/>
  <c r="J220" i="85" s="1"/>
  <c r="I360" i="84" s="1"/>
  <c r="E358" i="84"/>
  <c r="F223" i="85"/>
  <c r="E117" i="85"/>
  <c r="F363" i="84"/>
  <c r="H193" i="85"/>
  <c r="E104" i="85"/>
  <c r="F104" i="85" s="1"/>
  <c r="G104" i="85" s="1"/>
  <c r="H104" i="85" s="1"/>
  <c r="I104" i="85" s="1"/>
  <c r="J104" i="85" s="1"/>
  <c r="K104" i="85" s="1"/>
  <c r="L104" i="85" s="1"/>
  <c r="E110" i="85"/>
  <c r="E203" i="84" s="1"/>
  <c r="D244" i="84"/>
  <c r="E297" i="84"/>
  <c r="F310" i="84"/>
  <c r="E99" i="85"/>
  <c r="E334" i="84"/>
  <c r="F346" i="84"/>
  <c r="E112" i="85"/>
  <c r="E205" i="84" s="1"/>
  <c r="E244" i="84"/>
  <c r="F297" i="84"/>
  <c r="C310" i="84"/>
  <c r="G310" i="84"/>
  <c r="F334" i="84"/>
  <c r="C346" i="84"/>
  <c r="G346" i="84"/>
  <c r="F244" i="84"/>
  <c r="C297" i="84"/>
  <c r="G297" i="84"/>
  <c r="D310" i="84"/>
  <c r="H310" i="84"/>
  <c r="C334" i="84"/>
  <c r="G334" i="84"/>
  <c r="D346" i="84"/>
  <c r="H346" i="84"/>
  <c r="G244" i="84"/>
  <c r="D297" i="84"/>
  <c r="H297" i="84"/>
  <c r="E310" i="84"/>
  <c r="D334" i="84"/>
  <c r="H334" i="84"/>
  <c r="E346" i="84"/>
  <c r="F131" i="85"/>
  <c r="E204" i="84"/>
  <c r="F111" i="85"/>
  <c r="E132" i="85"/>
  <c r="D204" i="84"/>
  <c r="E139" i="85"/>
  <c r="E140" i="85"/>
  <c r="E25" i="85"/>
  <c r="E26" i="85"/>
  <c r="M26" i="62"/>
  <c r="K28" i="62"/>
  <c r="F130" i="85" l="1"/>
  <c r="F125" i="85"/>
  <c r="F23" i="84"/>
  <c r="G23" i="84"/>
  <c r="H23" i="84"/>
  <c r="E360" i="84"/>
  <c r="F360" i="84"/>
  <c r="G360" i="84"/>
  <c r="G223" i="85"/>
  <c r="E365" i="84"/>
  <c r="H360" i="84"/>
  <c r="F110" i="85"/>
  <c r="F203" i="84" s="1"/>
  <c r="G363" i="84"/>
  <c r="D23" i="84"/>
  <c r="E23" i="84"/>
  <c r="F112" i="85"/>
  <c r="G112" i="85" s="1"/>
  <c r="F99" i="85"/>
  <c r="D322" i="84"/>
  <c r="G131" i="85"/>
  <c r="F117" i="85"/>
  <c r="G111" i="85"/>
  <c r="F204" i="84"/>
  <c r="F132" i="85"/>
  <c r="F139" i="85"/>
  <c r="F140" i="85"/>
  <c r="F26" i="85"/>
  <c r="F25" i="85"/>
  <c r="H15" i="84"/>
  <c r="G15" i="84"/>
  <c r="F15" i="84"/>
  <c r="E15" i="84"/>
  <c r="D15" i="84"/>
  <c r="C15" i="84"/>
  <c r="B15" i="84"/>
  <c r="B16" i="84" s="1"/>
  <c r="R24" i="68"/>
  <c r="B122" i="29"/>
  <c r="B137" i="29" s="1"/>
  <c r="B152" i="29" s="1"/>
  <c r="B167" i="29" s="1"/>
  <c r="C122" i="29"/>
  <c r="D122" i="29"/>
  <c r="E122" i="29"/>
  <c r="F122" i="29"/>
  <c r="G122" i="29"/>
  <c r="H122" i="29"/>
  <c r="I122" i="29"/>
  <c r="B123" i="29"/>
  <c r="B138" i="29" s="1"/>
  <c r="B153" i="29" s="1"/>
  <c r="B168" i="29" s="1"/>
  <c r="B124" i="29"/>
  <c r="B139" i="29" s="1"/>
  <c r="B154" i="29" s="1"/>
  <c r="B169" i="29" s="1"/>
  <c r="B125" i="29"/>
  <c r="B140" i="29" s="1"/>
  <c r="B155" i="29" s="1"/>
  <c r="B170" i="29" s="1"/>
  <c r="B126" i="29"/>
  <c r="B141" i="29" s="1"/>
  <c r="B156" i="29" s="1"/>
  <c r="B171" i="29" s="1"/>
  <c r="C126" i="29"/>
  <c r="D126" i="29"/>
  <c r="E126" i="29"/>
  <c r="F126" i="29"/>
  <c r="G126" i="29"/>
  <c r="H126" i="29"/>
  <c r="I126" i="29"/>
  <c r="B127" i="29"/>
  <c r="B142" i="29" s="1"/>
  <c r="B157" i="29" s="1"/>
  <c r="B172" i="29" s="1"/>
  <c r="B143" i="29"/>
  <c r="B158" i="29" s="1"/>
  <c r="B173" i="29" s="1"/>
  <c r="C137" i="29"/>
  <c r="D137" i="29"/>
  <c r="E137" i="29"/>
  <c r="F137" i="29"/>
  <c r="G137" i="29"/>
  <c r="H137" i="29"/>
  <c r="I137" i="29"/>
  <c r="C141" i="29"/>
  <c r="D141" i="29"/>
  <c r="E141" i="29"/>
  <c r="F141" i="29"/>
  <c r="G141" i="29"/>
  <c r="H141" i="29"/>
  <c r="I141" i="29"/>
  <c r="C152" i="29"/>
  <c r="D152" i="29"/>
  <c r="E152" i="29"/>
  <c r="F152" i="29"/>
  <c r="G152" i="29"/>
  <c r="H152" i="29"/>
  <c r="I152" i="29"/>
  <c r="C156" i="29"/>
  <c r="D156" i="29"/>
  <c r="E156" i="29"/>
  <c r="F156" i="29"/>
  <c r="G156" i="29"/>
  <c r="H156" i="29"/>
  <c r="I156" i="29"/>
  <c r="C167" i="29"/>
  <c r="D167" i="29"/>
  <c r="E167" i="29"/>
  <c r="F167" i="29"/>
  <c r="G167" i="29"/>
  <c r="H167" i="29"/>
  <c r="I167" i="29"/>
  <c r="C171" i="29"/>
  <c r="D171" i="29"/>
  <c r="E171" i="29"/>
  <c r="F171" i="29"/>
  <c r="G171" i="29"/>
  <c r="H171" i="29"/>
  <c r="I171" i="29"/>
  <c r="D16" i="22"/>
  <c r="D9" i="22"/>
  <c r="E3" i="22"/>
  <c r="E16" i="22" s="1"/>
  <c r="L103" i="84"/>
  <c r="K103" i="84"/>
  <c r="L102" i="84"/>
  <c r="K102" i="84"/>
  <c r="L101" i="84"/>
  <c r="K101" i="84"/>
  <c r="L100" i="84"/>
  <c r="K100" i="84"/>
  <c r="L99" i="84"/>
  <c r="K99" i="84"/>
  <c r="L98" i="84"/>
  <c r="K98" i="84"/>
  <c r="D117" i="84"/>
  <c r="C10" i="22"/>
  <c r="J99" i="84"/>
  <c r="B279" i="84"/>
  <c r="B274" i="84"/>
  <c r="B269" i="84"/>
  <c r="B264" i="84"/>
  <c r="B259" i="84"/>
  <c r="A278" i="84"/>
  <c r="A273" i="84"/>
  <c r="A268" i="84"/>
  <c r="A263" i="84"/>
  <c r="A258" i="84"/>
  <c r="B348" i="84"/>
  <c r="H279" i="84"/>
  <c r="B336" i="84"/>
  <c r="H274" i="84"/>
  <c r="B324" i="84"/>
  <c r="B312" i="84"/>
  <c r="H264" i="84"/>
  <c r="B300" i="84"/>
  <c r="C259" i="84"/>
  <c r="C164" i="84"/>
  <c r="C160" i="84"/>
  <c r="C155" i="84"/>
  <c r="C148" i="84"/>
  <c r="C144" i="84"/>
  <c r="C140" i="84"/>
  <c r="N73" i="61"/>
  <c r="M73" i="61"/>
  <c r="L73" i="61"/>
  <c r="K73" i="61"/>
  <c r="J73" i="61"/>
  <c r="I73" i="61"/>
  <c r="H73" i="61"/>
  <c r="G73" i="61"/>
  <c r="F73" i="61"/>
  <c r="E73" i="61"/>
  <c r="N72" i="61"/>
  <c r="M72" i="61"/>
  <c r="L72" i="61"/>
  <c r="K72" i="61"/>
  <c r="J72" i="61"/>
  <c r="I72" i="61"/>
  <c r="H72" i="61"/>
  <c r="G72" i="61"/>
  <c r="F72" i="61"/>
  <c r="E72" i="61"/>
  <c r="N71" i="61"/>
  <c r="N78" i="61" s="1"/>
  <c r="M71" i="61"/>
  <c r="L71" i="61"/>
  <c r="K71" i="61"/>
  <c r="K75" i="61" s="1"/>
  <c r="J71" i="61"/>
  <c r="J78" i="61" s="1"/>
  <c r="I71" i="61"/>
  <c r="H71" i="61"/>
  <c r="G71" i="61"/>
  <c r="G75" i="61" s="1"/>
  <c r="F71" i="61"/>
  <c r="F78" i="61" s="1"/>
  <c r="E71" i="61"/>
  <c r="G57" i="57"/>
  <c r="C15" i="22"/>
  <c r="C14" i="22"/>
  <c r="C12" i="22"/>
  <c r="C11" i="22"/>
  <c r="D8" i="22"/>
  <c r="E8" i="22" s="1"/>
  <c r="F8" i="22" s="1"/>
  <c r="G8" i="22" s="1"/>
  <c r="H8" i="22" s="1"/>
  <c r="I8" i="22" s="1"/>
  <c r="C7" i="22"/>
  <c r="C6" i="22"/>
  <c r="D6" i="22" s="1"/>
  <c r="C81" i="84"/>
  <c r="B236" i="84"/>
  <c r="B238" i="84" s="1"/>
  <c r="B243" i="84" s="1"/>
  <c r="C243" i="84" s="1"/>
  <c r="D243" i="84" s="1"/>
  <c r="E243" i="84" s="1"/>
  <c r="F243" i="84" s="1"/>
  <c r="G243" i="84" s="1"/>
  <c r="H243" i="84" s="1"/>
  <c r="D89" i="84"/>
  <c r="C184" i="84"/>
  <c r="B163" i="84"/>
  <c r="B159" i="84"/>
  <c r="B154" i="84"/>
  <c r="B147" i="84"/>
  <c r="B143" i="84"/>
  <c r="B183" i="84" s="1"/>
  <c r="B212" i="84" s="1"/>
  <c r="B139" i="84"/>
  <c r="B175" i="84" s="1"/>
  <c r="B203" i="84" s="1"/>
  <c r="B208" i="84" s="1"/>
  <c r="C66" i="84"/>
  <c r="D66" i="84" s="1"/>
  <c r="H75" i="61" l="1"/>
  <c r="L75" i="61"/>
  <c r="B189" i="84"/>
  <c r="B216" i="84" s="1"/>
  <c r="G130" i="85"/>
  <c r="G125" i="85"/>
  <c r="G110" i="85"/>
  <c r="G203" i="84" s="1"/>
  <c r="G140" i="84" s="1"/>
  <c r="H223" i="85"/>
  <c r="F365" i="84"/>
  <c r="F205" i="84"/>
  <c r="H363" i="84"/>
  <c r="G99" i="85"/>
  <c r="E322" i="84"/>
  <c r="E269" i="84" s="1"/>
  <c r="G132" i="85"/>
  <c r="H112" i="85"/>
  <c r="G205" i="84"/>
  <c r="G117" i="85"/>
  <c r="G139" i="85"/>
  <c r="H111" i="85"/>
  <c r="G204" i="84"/>
  <c r="H131" i="85"/>
  <c r="G140" i="85"/>
  <c r="G25" i="85"/>
  <c r="G26" i="85"/>
  <c r="E78" i="61"/>
  <c r="E80" i="61" s="1"/>
  <c r="E82" i="61" s="1"/>
  <c r="I78" i="61"/>
  <c r="M78" i="61"/>
  <c r="M80" i="61" s="1"/>
  <c r="M82" i="61" s="1"/>
  <c r="C13" i="22"/>
  <c r="D13" i="22" s="1"/>
  <c r="D116" i="84"/>
  <c r="B17" i="21"/>
  <c r="D164" i="84"/>
  <c r="E164" i="84"/>
  <c r="F3" i="22"/>
  <c r="F15" i="22" s="1"/>
  <c r="E7" i="22"/>
  <c r="D10" i="22"/>
  <c r="D12" i="22"/>
  <c r="E14" i="22"/>
  <c r="E10" i="22"/>
  <c r="E12" i="22"/>
  <c r="D14" i="22"/>
  <c r="E15" i="22"/>
  <c r="E6" i="22"/>
  <c r="E9" i="22"/>
  <c r="D11" i="22"/>
  <c r="D15" i="22"/>
  <c r="D7" i="22"/>
  <c r="E11" i="22"/>
  <c r="D99" i="84"/>
  <c r="F99" i="84"/>
  <c r="G99" i="84"/>
  <c r="H99" i="84"/>
  <c r="E99" i="84"/>
  <c r="I99" i="84"/>
  <c r="C274" i="84"/>
  <c r="E274" i="84"/>
  <c r="C264" i="84"/>
  <c r="C279" i="84"/>
  <c r="B351" i="84"/>
  <c r="D106" i="84" s="1"/>
  <c r="C269" i="84"/>
  <c r="D264" i="84"/>
  <c r="D269" i="84"/>
  <c r="D274" i="84"/>
  <c r="D279" i="84"/>
  <c r="E264" i="84"/>
  <c r="E279" i="84"/>
  <c r="F264" i="84"/>
  <c r="F274" i="84"/>
  <c r="F279" i="84"/>
  <c r="G264" i="84"/>
  <c r="G274" i="84"/>
  <c r="G279" i="84"/>
  <c r="D140" i="84"/>
  <c r="E160" i="84"/>
  <c r="D144" i="84"/>
  <c r="D155" i="84"/>
  <c r="D148" i="84"/>
  <c r="D160" i="84"/>
  <c r="F140" i="84"/>
  <c r="E140" i="84"/>
  <c r="D259" i="84"/>
  <c r="F80" i="61"/>
  <c r="F82" i="61" s="1"/>
  <c r="J80" i="61"/>
  <c r="J82" i="61" s="1"/>
  <c r="N80" i="61"/>
  <c r="N82" i="61" s="1"/>
  <c r="I80" i="61"/>
  <c r="I82" i="61" s="1"/>
  <c r="E75" i="61"/>
  <c r="I75" i="61"/>
  <c r="M75" i="61"/>
  <c r="G78" i="61"/>
  <c r="K78" i="61"/>
  <c r="F75" i="61"/>
  <c r="J75" i="61"/>
  <c r="N75" i="61"/>
  <c r="H78" i="61"/>
  <c r="L78" i="61"/>
  <c r="C245" i="84"/>
  <c r="D245" i="84"/>
  <c r="E245" i="84"/>
  <c r="B245" i="84"/>
  <c r="F245" i="84"/>
  <c r="B204" i="84"/>
  <c r="E66" i="84"/>
  <c r="B17" i="84"/>
  <c r="B205" i="84" l="1"/>
  <c r="H130" i="85"/>
  <c r="F160" i="84"/>
  <c r="H125" i="85"/>
  <c r="H110" i="85"/>
  <c r="H203" i="84" s="1"/>
  <c r="H140" i="84" s="1"/>
  <c r="I223" i="85"/>
  <c r="G365" i="84"/>
  <c r="C17" i="22"/>
  <c r="C18" i="22" s="1"/>
  <c r="B39" i="21" s="1"/>
  <c r="I363" i="84"/>
  <c r="H99" i="85"/>
  <c r="F322" i="84"/>
  <c r="F269" i="84" s="1"/>
  <c r="H139" i="85"/>
  <c r="I111" i="85"/>
  <c r="H204" i="84"/>
  <c r="I112" i="85"/>
  <c r="H205" i="84"/>
  <c r="I131" i="85"/>
  <c r="H117" i="85"/>
  <c r="H132" i="85"/>
  <c r="H140" i="85"/>
  <c r="H26" i="85"/>
  <c r="H25" i="85"/>
  <c r="E13" i="22"/>
  <c r="F164" i="84"/>
  <c r="F10" i="22"/>
  <c r="F14" i="22"/>
  <c r="F7" i="22"/>
  <c r="F11" i="22"/>
  <c r="F12" i="22"/>
  <c r="G3" i="22"/>
  <c r="F16" i="22"/>
  <c r="F6" i="22"/>
  <c r="F13" i="22"/>
  <c r="F9" i="22"/>
  <c r="B36" i="84"/>
  <c r="B35" i="84"/>
  <c r="B34" i="84"/>
  <c r="B33" i="84"/>
  <c r="E144" i="84"/>
  <c r="E148" i="84"/>
  <c r="E155" i="84"/>
  <c r="E259" i="84"/>
  <c r="K80" i="61"/>
  <c r="K82" i="61" s="1"/>
  <c r="G80" i="61"/>
  <c r="G82" i="61" s="1"/>
  <c r="H80" i="61"/>
  <c r="H82" i="61" s="1"/>
  <c r="L80" i="61"/>
  <c r="L82" i="61" s="1"/>
  <c r="G245" i="84"/>
  <c r="C17" i="84"/>
  <c r="B22" i="84"/>
  <c r="C16" i="84"/>
  <c r="F66" i="84"/>
  <c r="B36" i="83" l="1"/>
  <c r="B34" i="83"/>
  <c r="J32" i="84"/>
  <c r="J40" i="84"/>
  <c r="I22" i="84"/>
  <c r="I130" i="85"/>
  <c r="I125" i="85"/>
  <c r="G160" i="84"/>
  <c r="D81" i="84"/>
  <c r="B14" i="21" s="1"/>
  <c r="I110" i="85"/>
  <c r="I203" i="84" s="1"/>
  <c r="I140" i="84" s="1"/>
  <c r="B51" i="84"/>
  <c r="D17" i="22"/>
  <c r="D18" i="22" s="1"/>
  <c r="C39" i="21" s="1"/>
  <c r="H365" i="84"/>
  <c r="J223" i="85"/>
  <c r="I365" i="84" s="1"/>
  <c r="G17" i="22"/>
  <c r="F17" i="22"/>
  <c r="B35" i="83"/>
  <c r="E17" i="22"/>
  <c r="E18" i="22" s="1"/>
  <c r="I99" i="85"/>
  <c r="G322" i="84"/>
  <c r="G269" i="84" s="1"/>
  <c r="I139" i="85"/>
  <c r="I132" i="85"/>
  <c r="J112" i="85"/>
  <c r="K112" i="85" s="1"/>
  <c r="L112" i="85" s="1"/>
  <c r="I205" i="84"/>
  <c r="I117" i="85"/>
  <c r="J131" i="85"/>
  <c r="K131" i="85" s="1"/>
  <c r="L131" i="85" s="1"/>
  <c r="J111" i="85"/>
  <c r="K111" i="85" s="1"/>
  <c r="L111" i="85" s="1"/>
  <c r="I204" i="84"/>
  <c r="G164" i="84"/>
  <c r="I140" i="85"/>
  <c r="I26" i="85"/>
  <c r="I25" i="85"/>
  <c r="B330" i="84"/>
  <c r="B306" i="84"/>
  <c r="B342" i="84"/>
  <c r="H3" i="22"/>
  <c r="G15" i="22"/>
  <c r="G12" i="22"/>
  <c r="G16" i="22"/>
  <c r="G9" i="22"/>
  <c r="G13" i="22"/>
  <c r="G6" i="22"/>
  <c r="G11" i="22"/>
  <c r="G14" i="22"/>
  <c r="G7" i="22"/>
  <c r="G10" i="22"/>
  <c r="B52" i="84"/>
  <c r="B318" i="84"/>
  <c r="C34" i="84"/>
  <c r="C33" i="84"/>
  <c r="C36" i="84"/>
  <c r="C35" i="84"/>
  <c r="B56" i="84"/>
  <c r="B55" i="84"/>
  <c r="B57" i="84"/>
  <c r="B46" i="84"/>
  <c r="B47" i="84"/>
  <c r="B45" i="84"/>
  <c r="B62" i="84"/>
  <c r="B61" i="84"/>
  <c r="B60" i="84"/>
  <c r="G144" i="84"/>
  <c r="F144" i="84"/>
  <c r="G148" i="84"/>
  <c r="F148" i="84"/>
  <c r="F155" i="84"/>
  <c r="F259" i="84"/>
  <c r="H245" i="84"/>
  <c r="D17" i="84"/>
  <c r="B67" i="84"/>
  <c r="B24" i="84"/>
  <c r="G66" i="84"/>
  <c r="D16" i="84"/>
  <c r="C22" i="84"/>
  <c r="C342" i="84" l="1"/>
  <c r="C35" i="83"/>
  <c r="K32" i="84"/>
  <c r="C44" i="81" s="1"/>
  <c r="K40" i="84"/>
  <c r="C330" i="84"/>
  <c r="C34" i="83"/>
  <c r="C36" i="83"/>
  <c r="B44" i="81"/>
  <c r="J22" i="84"/>
  <c r="H160" i="84"/>
  <c r="J130" i="85"/>
  <c r="K130" i="85" s="1"/>
  <c r="L130" i="85" s="1"/>
  <c r="J125" i="85"/>
  <c r="K125" i="85" s="1"/>
  <c r="L125" i="85" s="1"/>
  <c r="C165" i="84"/>
  <c r="C154" i="84"/>
  <c r="C156" i="84" s="1"/>
  <c r="J110" i="85"/>
  <c r="K110" i="85" s="1"/>
  <c r="L110" i="85" s="1"/>
  <c r="C318" i="84"/>
  <c r="C51" i="84"/>
  <c r="C306" i="84"/>
  <c r="J99" i="85"/>
  <c r="K99" i="85" s="1"/>
  <c r="L99" i="85" s="1"/>
  <c r="H322" i="84"/>
  <c r="H269" i="84" s="1"/>
  <c r="J139" i="85"/>
  <c r="K139" i="85" s="1"/>
  <c r="L139" i="85" s="1"/>
  <c r="J117" i="85"/>
  <c r="K117" i="85" s="1"/>
  <c r="L117" i="85" s="1"/>
  <c r="J132" i="85"/>
  <c r="K132" i="85" s="1"/>
  <c r="L132" i="85" s="1"/>
  <c r="H164" i="84"/>
  <c r="J140" i="85"/>
  <c r="K140" i="85" s="1"/>
  <c r="L140" i="85" s="1"/>
  <c r="I164" i="84"/>
  <c r="J25" i="85"/>
  <c r="K25" i="85" s="1"/>
  <c r="L25" i="85" s="1"/>
  <c r="J26" i="85"/>
  <c r="K26" i="85" s="1"/>
  <c r="L26" i="85" s="1"/>
  <c r="I3" i="22"/>
  <c r="H13" i="22"/>
  <c r="H9" i="22"/>
  <c r="H16" i="22"/>
  <c r="H6" i="22"/>
  <c r="H14" i="22"/>
  <c r="H12" i="22"/>
  <c r="H10" i="22"/>
  <c r="H15" i="22"/>
  <c r="H7" i="22"/>
  <c r="H11" i="22"/>
  <c r="H17" i="22"/>
  <c r="D39" i="21"/>
  <c r="H144" i="84"/>
  <c r="C62" i="84"/>
  <c r="C61" i="84"/>
  <c r="C60" i="84"/>
  <c r="C46" i="84"/>
  <c r="C45" i="84"/>
  <c r="C47" i="84"/>
  <c r="C57" i="84"/>
  <c r="C55" i="84"/>
  <c r="C56" i="84"/>
  <c r="C50" i="84"/>
  <c r="C52" i="84"/>
  <c r="H148" i="84"/>
  <c r="D36" i="84"/>
  <c r="D34" i="84"/>
  <c r="D35" i="84"/>
  <c r="D33" i="84"/>
  <c r="G155" i="84"/>
  <c r="G259" i="84"/>
  <c r="F18" i="22"/>
  <c r="E17" i="84"/>
  <c r="C67" i="84"/>
  <c r="C24" i="84"/>
  <c r="E16" i="84"/>
  <c r="D22" i="84"/>
  <c r="H66" i="84"/>
  <c r="L32" i="84" l="1"/>
  <c r="D44" i="81" s="1"/>
  <c r="L40" i="84"/>
  <c r="D330" i="84"/>
  <c r="D34" i="83"/>
  <c r="D36" i="83"/>
  <c r="D342" i="84"/>
  <c r="D35" i="83"/>
  <c r="K22" i="84"/>
  <c r="I160" i="84"/>
  <c r="D165" i="84"/>
  <c r="D154" i="84"/>
  <c r="D156" i="84" s="1"/>
  <c r="D318" i="84"/>
  <c r="D51" i="84"/>
  <c r="D306" i="84"/>
  <c r="I16" i="22"/>
  <c r="I9" i="22"/>
  <c r="I15" i="22"/>
  <c r="I12" i="22"/>
  <c r="I14" i="22"/>
  <c r="I10" i="22"/>
  <c r="I7" i="22"/>
  <c r="I6" i="22"/>
  <c r="I13" i="22"/>
  <c r="I11" i="22"/>
  <c r="I17" i="22"/>
  <c r="E39" i="21"/>
  <c r="I144" i="84"/>
  <c r="I148" i="84"/>
  <c r="D50" i="84"/>
  <c r="D52" i="84"/>
  <c r="D57" i="84"/>
  <c r="D55" i="84"/>
  <c r="D56" i="84"/>
  <c r="H155" i="84"/>
  <c r="E36" i="84"/>
  <c r="E34" i="84"/>
  <c r="E35" i="84"/>
  <c r="E33" i="84"/>
  <c r="D47" i="84"/>
  <c r="D46" i="84"/>
  <c r="D45" i="84"/>
  <c r="D61" i="84"/>
  <c r="D62" i="84"/>
  <c r="D60" i="84"/>
  <c r="H259" i="84"/>
  <c r="G18" i="22"/>
  <c r="F17" i="84"/>
  <c r="D24" i="84"/>
  <c r="D67" i="84"/>
  <c r="F16" i="84"/>
  <c r="E22" i="84"/>
  <c r="E330" i="84" l="1"/>
  <c r="E34" i="83"/>
  <c r="E36" i="83"/>
  <c r="M32" i="84"/>
  <c r="E44" i="81" s="1"/>
  <c r="M40" i="84"/>
  <c r="E342" i="84"/>
  <c r="E35" i="83"/>
  <c r="L22" i="84"/>
  <c r="E165" i="84"/>
  <c r="E154" i="84"/>
  <c r="E156" i="84" s="1"/>
  <c r="E318" i="84"/>
  <c r="E51" i="84"/>
  <c r="E306" i="84"/>
  <c r="F39" i="21"/>
  <c r="E45" i="84"/>
  <c r="E47" i="84"/>
  <c r="E46" i="84"/>
  <c r="E56" i="84"/>
  <c r="E57" i="84"/>
  <c r="E55" i="84"/>
  <c r="E50" i="84"/>
  <c r="E52" i="84"/>
  <c r="E61" i="84"/>
  <c r="E62" i="84"/>
  <c r="E60" i="84"/>
  <c r="F35" i="84"/>
  <c r="F33" i="84"/>
  <c r="F36" i="84"/>
  <c r="F34" i="84"/>
  <c r="I155" i="84"/>
  <c r="H18" i="22"/>
  <c r="G17" i="84"/>
  <c r="F22" i="84"/>
  <c r="G16" i="84"/>
  <c r="E24" i="84"/>
  <c r="E67" i="84"/>
  <c r="F342" i="84" l="1"/>
  <c r="F35" i="83"/>
  <c r="F330" i="84"/>
  <c r="F34" i="83"/>
  <c r="F36" i="83"/>
  <c r="N32" i="84"/>
  <c r="F44" i="81" s="1"/>
  <c r="N40" i="84"/>
  <c r="M22" i="84"/>
  <c r="F165" i="84"/>
  <c r="F154" i="84"/>
  <c r="F156" i="84" s="1"/>
  <c r="F318" i="84"/>
  <c r="F51" i="84"/>
  <c r="F306" i="84"/>
  <c r="G39" i="21"/>
  <c r="F46" i="84"/>
  <c r="F45" i="84"/>
  <c r="F47" i="84"/>
  <c r="G35" i="84"/>
  <c r="G33" i="84"/>
  <c r="G36" i="84"/>
  <c r="G34" i="84"/>
  <c r="F56" i="84"/>
  <c r="F57" i="84"/>
  <c r="F55" i="84"/>
  <c r="F62" i="84"/>
  <c r="F60" i="84"/>
  <c r="F61" i="84"/>
  <c r="F52" i="84"/>
  <c r="F50" i="84"/>
  <c r="I18" i="22"/>
  <c r="H17" i="84"/>
  <c r="G22" i="84"/>
  <c r="H16" i="84"/>
  <c r="F67" i="84"/>
  <c r="F24" i="84"/>
  <c r="O32" i="84" l="1"/>
  <c r="G44" i="81" s="1"/>
  <c r="O40" i="84"/>
  <c r="G342" i="84"/>
  <c r="G35" i="83"/>
  <c r="G330" i="84"/>
  <c r="G34" i="83"/>
  <c r="G36" i="83"/>
  <c r="N22" i="84"/>
  <c r="G165" i="84"/>
  <c r="G154" i="84"/>
  <c r="G156" i="84" s="1"/>
  <c r="G318" i="84"/>
  <c r="G51" i="84"/>
  <c r="G306" i="84"/>
  <c r="H39" i="21"/>
  <c r="G52" i="84"/>
  <c r="G50" i="84"/>
  <c r="G62" i="84"/>
  <c r="G60" i="84"/>
  <c r="G61" i="84"/>
  <c r="G47" i="84"/>
  <c r="G46" i="84"/>
  <c r="G45" i="84"/>
  <c r="H36" i="84"/>
  <c r="H34" i="84"/>
  <c r="H35" i="84"/>
  <c r="H33" i="84"/>
  <c r="G57" i="84"/>
  <c r="G55" i="84"/>
  <c r="G56" i="84"/>
  <c r="H22" i="84"/>
  <c r="P32" i="84" s="1"/>
  <c r="H44" i="81" s="1"/>
  <c r="G67" i="84"/>
  <c r="G24" i="84"/>
  <c r="H342" i="84" l="1"/>
  <c r="H35" i="83"/>
  <c r="H330" i="84"/>
  <c r="H36" i="83"/>
  <c r="H34" i="83"/>
  <c r="H165" i="84"/>
  <c r="H154" i="84"/>
  <c r="H156" i="84" s="1"/>
  <c r="H318" i="84"/>
  <c r="H51" i="84"/>
  <c r="H306" i="84"/>
  <c r="H57" i="84"/>
  <c r="H55" i="84"/>
  <c r="H56" i="84"/>
  <c r="H50" i="84"/>
  <c r="H52" i="84"/>
  <c r="H47" i="84"/>
  <c r="H46" i="84"/>
  <c r="H45" i="84"/>
  <c r="H61" i="84"/>
  <c r="H62" i="84"/>
  <c r="H60" i="84"/>
  <c r="H24" i="84"/>
  <c r="H67" i="84"/>
  <c r="I165" i="84" l="1"/>
  <c r="I154" i="84"/>
  <c r="I156" i="84" s="1"/>
  <c r="A34" i="83" l="1"/>
  <c r="A39" i="83"/>
  <c r="A38" i="83"/>
  <c r="A37" i="83"/>
  <c r="A36" i="83"/>
  <c r="B7" i="81" l="1"/>
  <c r="B9" i="81" s="1"/>
  <c r="C31" i="53"/>
  <c r="C84" i="53" s="1"/>
  <c r="D152" i="53" s="1"/>
  <c r="B32" i="55"/>
  <c r="B9" i="68"/>
  <c r="H47" i="57"/>
  <c r="G8" i="57"/>
  <c r="G9" i="57"/>
  <c r="G10" i="57"/>
  <c r="G11" i="57"/>
  <c r="G21" i="57"/>
  <c r="G22" i="57"/>
  <c r="G23" i="57"/>
  <c r="G24" i="57"/>
  <c r="G25" i="57"/>
  <c r="G26" i="57"/>
  <c r="G27" i="57"/>
  <c r="G28" i="57"/>
  <c r="G29" i="57"/>
  <c r="G30" i="57"/>
  <c r="G31" i="57"/>
  <c r="G34" i="57"/>
  <c r="G35" i="57"/>
  <c r="G36" i="57"/>
  <c r="G37" i="57"/>
  <c r="G38" i="57"/>
  <c r="G39" i="57"/>
  <c r="G40" i="57"/>
  <c r="G41" i="57"/>
  <c r="G42" i="57"/>
  <c r="G43" i="57"/>
  <c r="G44" i="57"/>
  <c r="G45" i="57"/>
  <c r="G46" i="57"/>
  <c r="G49" i="57"/>
  <c r="G50" i="57"/>
  <c r="G51" i="57"/>
  <c r="G52" i="57"/>
  <c r="G53" i="57"/>
  <c r="G54" i="57"/>
  <c r="F73" i="57"/>
  <c r="F74" i="57"/>
  <c r="F75" i="57"/>
  <c r="F76" i="57"/>
  <c r="F77" i="57"/>
  <c r="F78" i="57"/>
  <c r="F87" i="57"/>
  <c r="F88" i="57"/>
  <c r="F89" i="57"/>
  <c r="F90" i="57"/>
  <c r="F91" i="57"/>
  <c r="F92" i="57"/>
  <c r="F101" i="57"/>
  <c r="F102" i="57"/>
  <c r="F103" i="57"/>
  <c r="H55" i="57"/>
  <c r="B283" i="55" s="1"/>
  <c r="B5" i="55"/>
  <c r="B63" i="55"/>
  <c r="B89" i="55" s="1"/>
  <c r="B141" i="55" s="1"/>
  <c r="D199" i="55" s="1"/>
  <c r="B7" i="83"/>
  <c r="B9" i="83" s="1"/>
  <c r="D255" i="55"/>
  <c r="D279" i="55"/>
  <c r="D280" i="55"/>
  <c r="H62" i="57"/>
  <c r="V11" i="61" s="1"/>
  <c r="B113" i="81"/>
  <c r="C30" i="53" s="1"/>
  <c r="C83" i="53" s="1"/>
  <c r="D205" i="53"/>
  <c r="D214" i="53"/>
  <c r="D243" i="53"/>
  <c r="C182" i="53"/>
  <c r="B162" i="55"/>
  <c r="D221" i="55" s="1"/>
  <c r="B163" i="55"/>
  <c r="D222" i="55" s="1"/>
  <c r="B164" i="55"/>
  <c r="D223" i="55" s="1"/>
  <c r="B10" i="42"/>
  <c r="D21" i="42" s="1"/>
  <c r="D23" i="42" s="1"/>
  <c r="F8" i="48"/>
  <c r="H8" i="48" s="1"/>
  <c r="C28" i="48" s="1"/>
  <c r="D28" i="48"/>
  <c r="F9" i="48"/>
  <c r="H9" i="48" s="1"/>
  <c r="D29" i="48"/>
  <c r="F10" i="48"/>
  <c r="H10" i="48" s="1"/>
  <c r="D30" i="48"/>
  <c r="F11" i="48"/>
  <c r="H11" i="48" s="1"/>
  <c r="D31" i="48"/>
  <c r="F12" i="48"/>
  <c r="H12" i="48" s="1"/>
  <c r="D32" i="48"/>
  <c r="C33" i="48"/>
  <c r="D33" i="48"/>
  <c r="C34" i="48"/>
  <c r="D34" i="48"/>
  <c r="C35" i="48"/>
  <c r="D35" i="48"/>
  <c r="C36" i="48"/>
  <c r="E36" i="48" s="1"/>
  <c r="D36" i="48"/>
  <c r="C37" i="48"/>
  <c r="D37" i="48"/>
  <c r="C38" i="48"/>
  <c r="D38" i="48"/>
  <c r="D27" i="42"/>
  <c r="D28" i="42"/>
  <c r="C29" i="42"/>
  <c r="D29" i="42" s="1"/>
  <c r="J13" i="48"/>
  <c r="J14" i="48"/>
  <c r="J15" i="48"/>
  <c r="J16" i="48"/>
  <c r="J17" i="48"/>
  <c r="M8" i="48"/>
  <c r="M9" i="48"/>
  <c r="M10" i="48"/>
  <c r="M11" i="48"/>
  <c r="M12" i="48"/>
  <c r="M13" i="48"/>
  <c r="M14" i="48"/>
  <c r="M15" i="48"/>
  <c r="M16" i="48"/>
  <c r="M17" i="48"/>
  <c r="D294" i="55"/>
  <c r="D301" i="55" s="1"/>
  <c r="B32" i="21" s="1"/>
  <c r="B33" i="21"/>
  <c r="D37" i="42"/>
  <c r="D43" i="42" s="1"/>
  <c r="B34" i="21" s="1"/>
  <c r="E52" i="48"/>
  <c r="E56" i="48" s="1"/>
  <c r="B35" i="21" s="1"/>
  <c r="D265" i="53"/>
  <c r="D266" i="53"/>
  <c r="D267" i="53"/>
  <c r="D268" i="53"/>
  <c r="C10" i="62"/>
  <c r="C9" i="62"/>
  <c r="C8" i="62"/>
  <c r="C7" i="62"/>
  <c r="C6" i="62"/>
  <c r="C5" i="62"/>
  <c r="G40" i="81"/>
  <c r="H40" i="81" s="1"/>
  <c r="H63" i="55"/>
  <c r="E172" i="55"/>
  <c r="F172" i="55" s="1"/>
  <c r="H32" i="55"/>
  <c r="H89" i="55" s="1"/>
  <c r="H141" i="55" s="1"/>
  <c r="G63" i="55"/>
  <c r="G32" i="55"/>
  <c r="G89" i="55" s="1"/>
  <c r="F63" i="55"/>
  <c r="F32" i="55"/>
  <c r="F89" i="55" s="1"/>
  <c r="E63" i="55"/>
  <c r="E32" i="55"/>
  <c r="E89" i="55" s="1"/>
  <c r="D63" i="55"/>
  <c r="D32" i="55"/>
  <c r="D89" i="55" s="1"/>
  <c r="D141" i="55" s="1"/>
  <c r="C63" i="55"/>
  <c r="C32" i="55"/>
  <c r="C89" i="55" s="1"/>
  <c r="C141" i="55" s="1"/>
  <c r="E279" i="55"/>
  <c r="E76" i="84"/>
  <c r="E123" i="84" s="1"/>
  <c r="G65" i="81"/>
  <c r="H65" i="81" s="1"/>
  <c r="C90" i="81"/>
  <c r="C113" i="81" s="1"/>
  <c r="E124" i="53"/>
  <c r="F124" i="53" s="1"/>
  <c r="G124" i="53" s="1"/>
  <c r="H124" i="53" s="1"/>
  <c r="I31" i="53"/>
  <c r="I84" i="53" s="1"/>
  <c r="H31" i="53"/>
  <c r="H84" i="53" s="1"/>
  <c r="G31" i="53"/>
  <c r="G84" i="53" s="1"/>
  <c r="F31" i="53"/>
  <c r="F84" i="53" s="1"/>
  <c r="G214" i="53"/>
  <c r="E31" i="53"/>
  <c r="E84" i="53" s="1"/>
  <c r="F219" i="53" s="1"/>
  <c r="F205" i="53"/>
  <c r="D31" i="53"/>
  <c r="D84" i="53" s="1"/>
  <c r="E205" i="53"/>
  <c r="E214" i="53"/>
  <c r="F23" i="48"/>
  <c r="G23" i="48" s="1"/>
  <c r="E17" i="42"/>
  <c r="E28" i="42" s="1"/>
  <c r="C162" i="55"/>
  <c r="E221" i="55" s="1"/>
  <c r="C163" i="55"/>
  <c r="C164" i="55"/>
  <c r="F34" i="48"/>
  <c r="F35" i="48"/>
  <c r="F37" i="48"/>
  <c r="C9" i="42"/>
  <c r="C10" i="42" s="1"/>
  <c r="D162" i="55"/>
  <c r="D163" i="55"/>
  <c r="D164" i="55"/>
  <c r="D9" i="42"/>
  <c r="D10" i="42" s="1"/>
  <c r="E162" i="55"/>
  <c r="E163" i="55"/>
  <c r="E164" i="55"/>
  <c r="F162" i="55"/>
  <c r="F163" i="55"/>
  <c r="F164" i="55"/>
  <c r="G162" i="55"/>
  <c r="G163" i="55"/>
  <c r="G164" i="55"/>
  <c r="H162" i="55"/>
  <c r="H163" i="55"/>
  <c r="H164" i="55"/>
  <c r="A42" i="81"/>
  <c r="A67" i="81" s="1"/>
  <c r="A92" i="81" s="1"/>
  <c r="A9" i="53" s="1"/>
  <c r="C17" i="61"/>
  <c r="V8" i="61"/>
  <c r="V9" i="61"/>
  <c r="V10" i="61"/>
  <c r="V12" i="61"/>
  <c r="V13" i="61"/>
  <c r="U13" i="61"/>
  <c r="U12" i="61"/>
  <c r="U10" i="61"/>
  <c r="U11" i="61"/>
  <c r="U9" i="61"/>
  <c r="O13" i="61"/>
  <c r="P13" i="61" s="1"/>
  <c r="Q13" i="61" s="1"/>
  <c r="R13" i="61" s="1"/>
  <c r="N13" i="61"/>
  <c r="O12" i="61"/>
  <c r="N12" i="61"/>
  <c r="O11" i="61"/>
  <c r="P11" i="61" s="1"/>
  <c r="Q11" i="61" s="1"/>
  <c r="R11" i="61" s="1"/>
  <c r="N11" i="61"/>
  <c r="N10" i="61"/>
  <c r="O10" i="61"/>
  <c r="P10" i="61" s="1"/>
  <c r="Q10" i="61" s="1"/>
  <c r="R10" i="61" s="1"/>
  <c r="O9" i="61"/>
  <c r="P9" i="61" s="1"/>
  <c r="Q9" i="61" s="1"/>
  <c r="R9" i="61" s="1"/>
  <c r="N9" i="61"/>
  <c r="R8" i="61"/>
  <c r="Q8" i="61"/>
  <c r="P8" i="61"/>
  <c r="O8" i="61"/>
  <c r="P12" i="61"/>
  <c r="Q12" i="61" s="1"/>
  <c r="R12" i="61" s="1"/>
  <c r="C15" i="61"/>
  <c r="C16" i="61"/>
  <c r="B37" i="29"/>
  <c r="B36" i="29"/>
  <c r="B35" i="29"/>
  <c r="B34" i="29"/>
  <c r="B33" i="29"/>
  <c r="B32" i="29"/>
  <c r="C52" i="61"/>
  <c r="C51" i="61"/>
  <c r="C50" i="61"/>
  <c r="C49" i="61"/>
  <c r="C48" i="61"/>
  <c r="C47" i="61"/>
  <c r="A27" i="21"/>
  <c r="A37" i="21" s="1"/>
  <c r="A179" i="53"/>
  <c r="A243" i="53" s="1"/>
  <c r="A57" i="53"/>
  <c r="A26" i="83"/>
  <c r="A35" i="83" s="1"/>
  <c r="A32" i="53"/>
  <c r="A153" i="53" s="1"/>
  <c r="A220" i="53" s="1"/>
  <c r="A31" i="53"/>
  <c r="A62" i="81"/>
  <c r="A87" i="81" s="1"/>
  <c r="A112" i="81" s="1"/>
  <c r="A30" i="53" s="1"/>
  <c r="A61" i="81"/>
  <c r="A86" i="81" s="1"/>
  <c r="A111" i="81" s="1"/>
  <c r="A29" i="53" s="1"/>
  <c r="A60" i="81"/>
  <c r="A29" i="55" s="1"/>
  <c r="A86" i="55" s="1"/>
  <c r="A138" i="55" s="1"/>
  <c r="A196" i="55" s="1"/>
  <c r="A251" i="55" s="1"/>
  <c r="A43" i="81"/>
  <c r="A68" i="81" s="1"/>
  <c r="A93" i="81" s="1"/>
  <c r="A10" i="53" s="1"/>
  <c r="A34" i="55"/>
  <c r="A91" i="55" s="1"/>
  <c r="A143" i="55" s="1"/>
  <c r="A202" i="55" s="1"/>
  <c r="A256" i="55" s="1"/>
  <c r="A39" i="55"/>
  <c r="A96" i="55" s="1"/>
  <c r="A148" i="55" s="1"/>
  <c r="A207" i="55" s="1"/>
  <c r="A261" i="55" s="1"/>
  <c r="A279" i="55"/>
  <c r="A280" i="55"/>
  <c r="A255" i="55"/>
  <c r="A254" i="55"/>
  <c r="A31" i="55"/>
  <c r="A88" i="55" s="1"/>
  <c r="A140" i="55" s="1"/>
  <c r="A198" i="55" s="1"/>
  <c r="A253" i="55" s="1"/>
  <c r="A59" i="81"/>
  <c r="A28" i="55" s="1"/>
  <c r="A85" i="55" s="1"/>
  <c r="A137" i="55" s="1"/>
  <c r="A195" i="55" s="1"/>
  <c r="A250" i="55" s="1"/>
  <c r="E294" i="55"/>
  <c r="E301" i="55" s="1"/>
  <c r="C32" i="21" s="1"/>
  <c r="C33" i="21"/>
  <c r="E265" i="53"/>
  <c r="E266" i="53"/>
  <c r="E267" i="53"/>
  <c r="E268" i="53"/>
  <c r="E37" i="42"/>
  <c r="E43" i="42" s="1"/>
  <c r="C34" i="21" s="1"/>
  <c r="F52" i="48"/>
  <c r="F56" i="48" s="1"/>
  <c r="C35" i="21" s="1"/>
  <c r="D33" i="21"/>
  <c r="F265" i="53"/>
  <c r="F266" i="53"/>
  <c r="F267" i="53"/>
  <c r="F268" i="53"/>
  <c r="E33" i="21"/>
  <c r="G265" i="53"/>
  <c r="G266" i="53"/>
  <c r="G267" i="53"/>
  <c r="G268" i="53"/>
  <c r="F33" i="21"/>
  <c r="H265" i="53"/>
  <c r="H273" i="53" s="1"/>
  <c r="F36" i="21" s="1"/>
  <c r="H266" i="53"/>
  <c r="H267" i="53"/>
  <c r="H268" i="53"/>
  <c r="G33" i="21"/>
  <c r="H33" i="21"/>
  <c r="A53" i="22"/>
  <c r="A54" i="22"/>
  <c r="A55" i="22"/>
  <c r="A56" i="22"/>
  <c r="H32" i="57"/>
  <c r="C62" i="29"/>
  <c r="D62" i="29" s="1"/>
  <c r="E62" i="29" s="1"/>
  <c r="F62" i="29" s="1"/>
  <c r="G62" i="29" s="1"/>
  <c r="H62" i="29" s="1"/>
  <c r="I62" i="29" s="1"/>
  <c r="K12" i="81"/>
  <c r="L12" i="81" s="1"/>
  <c r="M12" i="81" s="1"/>
  <c r="N12" i="81" s="1"/>
  <c r="A44" i="81"/>
  <c r="A69" i="81" s="1"/>
  <c r="F13" i="48"/>
  <c r="F14" i="48"/>
  <c r="F15" i="48"/>
  <c r="F16" i="48"/>
  <c r="F17" i="48"/>
  <c r="A152" i="53"/>
  <c r="A219" i="53" s="1"/>
  <c r="A84" i="81"/>
  <c r="A109" i="81" s="1"/>
  <c r="A27" i="53" s="1"/>
  <c r="A26" i="53"/>
  <c r="A147" i="53" s="1"/>
  <c r="A214" i="53" s="1"/>
  <c r="A58" i="81"/>
  <c r="A83" i="81" s="1"/>
  <c r="A57" i="81"/>
  <c r="A82" i="81" s="1"/>
  <c r="A107" i="81" s="1"/>
  <c r="A24" i="53" s="1"/>
  <c r="A56" i="81"/>
  <c r="A81" i="81" s="1"/>
  <c r="A55" i="81"/>
  <c r="A80" i="81" s="1"/>
  <c r="A105" i="81" s="1"/>
  <c r="A22" i="53" s="1"/>
  <c r="A54" i="81"/>
  <c r="A79" i="81" s="1"/>
  <c r="A53" i="81"/>
  <c r="A78" i="81" s="1"/>
  <c r="A103" i="81" s="1"/>
  <c r="A20" i="53" s="1"/>
  <c r="A52" i="81"/>
  <c r="A77" i="81" s="1"/>
  <c r="A51" i="81"/>
  <c r="A76" i="81" s="1"/>
  <c r="A101" i="81" s="1"/>
  <c r="A18" i="53" s="1"/>
  <c r="A138" i="53"/>
  <c r="A205" i="53" s="1"/>
  <c r="A49" i="81"/>
  <c r="A74" i="81" s="1"/>
  <c r="A99" i="81" s="1"/>
  <c r="A16" i="53" s="1"/>
  <c r="A48" i="81"/>
  <c r="A73" i="81" s="1"/>
  <c r="A47" i="81"/>
  <c r="A72" i="81" s="1"/>
  <c r="A97" i="81" s="1"/>
  <c r="A14" i="53" s="1"/>
  <c r="A46" i="81"/>
  <c r="A71" i="81" s="1"/>
  <c r="A45" i="81"/>
  <c r="A70" i="81" s="1"/>
  <c r="A129" i="53"/>
  <c r="A61" i="53"/>
  <c r="A84" i="53"/>
  <c r="A79" i="53"/>
  <c r="A70" i="53"/>
  <c r="A50" i="81"/>
  <c r="A75" i="81" s="1"/>
  <c r="A27" i="55"/>
  <c r="A84" i="55" s="1"/>
  <c r="A136" i="55" s="1"/>
  <c r="A194" i="55" s="1"/>
  <c r="A249" i="55" s="1"/>
  <c r="A26" i="55"/>
  <c r="A83" i="55" s="1"/>
  <c r="A135" i="55" s="1"/>
  <c r="A193" i="55" s="1"/>
  <c r="A248" i="55" s="1"/>
  <c r="A24" i="55"/>
  <c r="A81" i="55" s="1"/>
  <c r="A133" i="55" s="1"/>
  <c r="A191" i="55" s="1"/>
  <c r="A246" i="55" s="1"/>
  <c r="A23" i="55"/>
  <c r="A80" i="55" s="1"/>
  <c r="A132" i="55" s="1"/>
  <c r="A190" i="55" s="1"/>
  <c r="A245" i="55" s="1"/>
  <c r="A19" i="55"/>
  <c r="A76" i="55" s="1"/>
  <c r="A128" i="55" s="1"/>
  <c r="A186" i="55" s="1"/>
  <c r="A241" i="55" s="1"/>
  <c r="A16" i="55"/>
  <c r="A73" i="55" s="1"/>
  <c r="A125" i="55" s="1"/>
  <c r="A183" i="55" s="1"/>
  <c r="A238" i="55" s="1"/>
  <c r="A15" i="55"/>
  <c r="A72" i="55" s="1"/>
  <c r="A124" i="55" s="1"/>
  <c r="A182" i="55" s="1"/>
  <c r="A237" i="55" s="1"/>
  <c r="A12" i="55"/>
  <c r="A69" i="55"/>
  <c r="A121" i="55" s="1"/>
  <c r="A179" i="55" s="1"/>
  <c r="A234" i="55" s="1"/>
  <c r="A32" i="55"/>
  <c r="A89" i="55" s="1"/>
  <c r="A141" i="55" s="1"/>
  <c r="V12" i="81"/>
  <c r="W12" i="81"/>
  <c r="X12" i="81" s="1"/>
  <c r="P12" i="81"/>
  <c r="Q12" i="81" s="1"/>
  <c r="R12" i="81" s="1"/>
  <c r="S12" i="81" s="1"/>
  <c r="T12" i="81" s="1"/>
  <c r="A32" i="48"/>
  <c r="A31" i="48"/>
  <c r="A30" i="48"/>
  <c r="A29" i="48"/>
  <c r="A28" i="48"/>
  <c r="M15" i="62"/>
  <c r="M17" i="62" s="1"/>
  <c r="B95" i="29"/>
  <c r="B94" i="29"/>
  <c r="B93" i="29"/>
  <c r="B92" i="29"/>
  <c r="A24" i="21"/>
  <c r="A34" i="21" s="1"/>
  <c r="A23" i="21"/>
  <c r="A33" i="21" s="1"/>
  <c r="A22" i="21"/>
  <c r="A32" i="21" s="1"/>
  <c r="A25" i="21"/>
  <c r="A35" i="21" s="1"/>
  <c r="A26" i="21"/>
  <c r="A36" i="21" s="1"/>
  <c r="H29" i="69"/>
  <c r="B18" i="68"/>
  <c r="B17" i="68"/>
  <c r="A251" i="53"/>
  <c r="A250" i="53"/>
  <c r="A249" i="53"/>
  <c r="A247" i="53"/>
  <c r="A246" i="53"/>
  <c r="A245" i="53"/>
  <c r="A244" i="53"/>
  <c r="A195" i="53"/>
  <c r="A85" i="81" l="1"/>
  <c r="A110" i="81" s="1"/>
  <c r="A28" i="53" s="1"/>
  <c r="A81" i="53" s="1"/>
  <c r="A20" i="55"/>
  <c r="A77" i="55" s="1"/>
  <c r="A129" i="55" s="1"/>
  <c r="A187" i="55" s="1"/>
  <c r="A242" i="55" s="1"/>
  <c r="A11" i="55"/>
  <c r="A68" i="55" s="1"/>
  <c r="A120" i="55" s="1"/>
  <c r="A178" i="55" s="1"/>
  <c r="A233" i="55" s="1"/>
  <c r="A17" i="55"/>
  <c r="A74" i="55" s="1"/>
  <c r="A126" i="55" s="1"/>
  <c r="A184" i="55" s="1"/>
  <c r="A239" i="55" s="1"/>
  <c r="F28" i="48"/>
  <c r="G28" i="48"/>
  <c r="A151" i="53"/>
  <c r="A218" i="53" s="1"/>
  <c r="A83" i="53"/>
  <c r="H23" i="48"/>
  <c r="H52" i="48" s="1"/>
  <c r="H56" i="48" s="1"/>
  <c r="E35" i="21" s="1"/>
  <c r="G37" i="48"/>
  <c r="G52" i="48"/>
  <c r="G56" i="48" s="1"/>
  <c r="D35" i="21" s="1"/>
  <c r="G34" i="48"/>
  <c r="G36" i="48"/>
  <c r="A14" i="55"/>
  <c r="A71" i="55" s="1"/>
  <c r="A123" i="55" s="1"/>
  <c r="A181" i="55" s="1"/>
  <c r="A236" i="55" s="1"/>
  <c r="A18" i="55"/>
  <c r="A75" i="55" s="1"/>
  <c r="A127" i="55" s="1"/>
  <c r="A185" i="55" s="1"/>
  <c r="A240" i="55" s="1"/>
  <c r="G273" i="53"/>
  <c r="E36" i="21" s="1"/>
  <c r="F36" i="48"/>
  <c r="F17" i="42"/>
  <c r="E243" i="53"/>
  <c r="F214" i="53"/>
  <c r="G205" i="53"/>
  <c r="D90" i="81"/>
  <c r="E90" i="81" s="1"/>
  <c r="F90" i="81" s="1"/>
  <c r="G90" i="81" s="1"/>
  <c r="H90" i="81" s="1"/>
  <c r="G38" i="48"/>
  <c r="E35" i="48"/>
  <c r="D219" i="53"/>
  <c r="F21" i="42"/>
  <c r="F23" i="42" s="1"/>
  <c r="G38" i="61" s="1"/>
  <c r="E21" i="42"/>
  <c r="E23" i="42" s="1"/>
  <c r="A21" i="55"/>
  <c r="A78" i="55" s="1"/>
  <c r="A130" i="55" s="1"/>
  <c r="A188" i="55" s="1"/>
  <c r="A243" i="55" s="1"/>
  <c r="E27" i="42"/>
  <c r="G35" i="48"/>
  <c r="G33" i="48"/>
  <c r="C31" i="48"/>
  <c r="J11" i="48"/>
  <c r="F279" i="55"/>
  <c r="F294" i="55"/>
  <c r="F301" i="55" s="1"/>
  <c r="D32" i="21" s="1"/>
  <c r="G172" i="55"/>
  <c r="F280" i="55"/>
  <c r="F199" i="55"/>
  <c r="F255" i="55"/>
  <c r="C32" i="48"/>
  <c r="J12" i="48"/>
  <c r="A150" i="53"/>
  <c r="A217" i="53" s="1"/>
  <c r="A82" i="53"/>
  <c r="F222" i="55"/>
  <c r="A149" i="53"/>
  <c r="A216" i="53" s="1"/>
  <c r="E273" i="53"/>
  <c r="C36" i="21" s="1"/>
  <c r="A30" i="55"/>
  <c r="A87" i="55" s="1"/>
  <c r="A139" i="55" s="1"/>
  <c r="A197" i="55" s="1"/>
  <c r="A252" i="55" s="1"/>
  <c r="D10" i="21"/>
  <c r="E34" i="29" s="1"/>
  <c r="G223" i="55"/>
  <c r="F221" i="55"/>
  <c r="F38" i="48"/>
  <c r="E199" i="55"/>
  <c r="F29" i="42"/>
  <c r="E255" i="55"/>
  <c r="F254" i="55"/>
  <c r="E38" i="48"/>
  <c r="E33" i="48"/>
  <c r="E34" i="42"/>
  <c r="E45" i="42" s="1"/>
  <c r="E47" i="42" s="1"/>
  <c r="A22" i="55"/>
  <c r="A79" i="55" s="1"/>
  <c r="A131" i="55" s="1"/>
  <c r="A189" i="55" s="1"/>
  <c r="A244" i="55" s="1"/>
  <c r="A25" i="55"/>
  <c r="A82" i="55" s="1"/>
  <c r="A134" i="55" s="1"/>
  <c r="A192" i="55" s="1"/>
  <c r="A247" i="55" s="1"/>
  <c r="F273" i="53"/>
  <c r="D36" i="21" s="1"/>
  <c r="G222" i="55"/>
  <c r="F33" i="48"/>
  <c r="E223" i="55"/>
  <c r="E29" i="42"/>
  <c r="F28" i="42"/>
  <c r="F34" i="42" s="1"/>
  <c r="D30" i="53"/>
  <c r="D83" i="53" s="1"/>
  <c r="E254" i="55"/>
  <c r="D273" i="53"/>
  <c r="B36" i="21" s="1"/>
  <c r="D34" i="42"/>
  <c r="D45" i="42" s="1"/>
  <c r="D47" i="42" s="1"/>
  <c r="E28" i="48"/>
  <c r="A13" i="55"/>
  <c r="A70" i="55" s="1"/>
  <c r="A122" i="55" s="1"/>
  <c r="A180" i="55" s="1"/>
  <c r="A235" i="55" s="1"/>
  <c r="E9" i="42"/>
  <c r="G221" i="55"/>
  <c r="F223" i="55"/>
  <c r="E222" i="55"/>
  <c r="F27" i="42"/>
  <c r="F243" i="53"/>
  <c r="G243" i="53"/>
  <c r="E280" i="55"/>
  <c r="E37" i="48"/>
  <c r="H64" i="57"/>
  <c r="E122" i="84"/>
  <c r="E121" i="84"/>
  <c r="E120" i="84"/>
  <c r="E119" i="84"/>
  <c r="E124" i="84"/>
  <c r="E169" i="29"/>
  <c r="E124" i="29"/>
  <c r="E139" i="29"/>
  <c r="H18" i="83"/>
  <c r="F76" i="84"/>
  <c r="F123" i="84" s="1"/>
  <c r="E116" i="84"/>
  <c r="E117" i="84"/>
  <c r="G47" i="57"/>
  <c r="F79" i="57"/>
  <c r="D7" i="62" s="1"/>
  <c r="C41" i="22" s="1"/>
  <c r="F93" i="57"/>
  <c r="D8" i="62" s="1"/>
  <c r="C20" i="68" s="1"/>
  <c r="F104" i="57"/>
  <c r="D9" i="62" s="1"/>
  <c r="G55" i="57"/>
  <c r="G32" i="57"/>
  <c r="O16" i="61"/>
  <c r="R16" i="61"/>
  <c r="Q16" i="61"/>
  <c r="P16" i="61"/>
  <c r="E81" i="84"/>
  <c r="C14" i="21" s="1"/>
  <c r="V16" i="61"/>
  <c r="A49" i="55"/>
  <c r="A106" i="55" s="1"/>
  <c r="A158" i="55" s="1"/>
  <c r="A217" i="55" s="1"/>
  <c r="A271" i="55" s="1"/>
  <c r="A45" i="55"/>
  <c r="A102" i="55" s="1"/>
  <c r="A154" i="55" s="1"/>
  <c r="A213" i="55" s="1"/>
  <c r="A267" i="55" s="1"/>
  <c r="A51" i="55"/>
  <c r="A108" i="55" s="1"/>
  <c r="A160" i="55" s="1"/>
  <c r="A219" i="55" s="1"/>
  <c r="A273" i="55" s="1"/>
  <c r="A55" i="55"/>
  <c r="A112" i="55" s="1"/>
  <c r="A164" i="55" s="1"/>
  <c r="A223" i="55" s="1"/>
  <c r="A59" i="55"/>
  <c r="A116" i="55" s="1"/>
  <c r="A168" i="55" s="1"/>
  <c r="A227" i="55" s="1"/>
  <c r="A278" i="55" s="1"/>
  <c r="A43" i="55"/>
  <c r="A100" i="55" s="1"/>
  <c r="A152" i="55" s="1"/>
  <c r="A211" i="55" s="1"/>
  <c r="A265" i="55" s="1"/>
  <c r="A53" i="53"/>
  <c r="A174" i="53" s="1"/>
  <c r="A55" i="53"/>
  <c r="A176" i="53" s="1"/>
  <c r="A240" i="53" s="1"/>
  <c r="A58" i="55"/>
  <c r="A115" i="55" s="1"/>
  <c r="A167" i="55" s="1"/>
  <c r="A226" i="55" s="1"/>
  <c r="A277" i="55" s="1"/>
  <c r="A47" i="55"/>
  <c r="A104" i="55" s="1"/>
  <c r="A156" i="55" s="1"/>
  <c r="A215" i="55" s="1"/>
  <c r="A269" i="55" s="1"/>
  <c r="A54" i="55"/>
  <c r="A111" i="55" s="1"/>
  <c r="A163" i="55" s="1"/>
  <c r="A222" i="55" s="1"/>
  <c r="A56" i="55"/>
  <c r="A113" i="55" s="1"/>
  <c r="A165" i="55" s="1"/>
  <c r="A224" i="55" s="1"/>
  <c r="A275" i="55" s="1"/>
  <c r="A57" i="55"/>
  <c r="A114" i="55" s="1"/>
  <c r="A166" i="55" s="1"/>
  <c r="A225" i="55" s="1"/>
  <c r="A276" i="55" s="1"/>
  <c r="A44" i="53"/>
  <c r="A165" i="53" s="1"/>
  <c r="A232" i="53" s="1"/>
  <c r="A52" i="53"/>
  <c r="A173" i="53" s="1"/>
  <c r="A45" i="83"/>
  <c r="A36" i="53" s="1"/>
  <c r="A89" i="53" s="1"/>
  <c r="A40" i="53"/>
  <c r="A161" i="53" s="1"/>
  <c r="A228" i="53" s="1"/>
  <c r="A48" i="53"/>
  <c r="A101" i="53" s="1"/>
  <c r="A34" i="53"/>
  <c r="A155" i="53" s="1"/>
  <c r="A222" i="53" s="1"/>
  <c r="A38" i="53"/>
  <c r="A159" i="53" s="1"/>
  <c r="A226" i="53" s="1"/>
  <c r="A42" i="53"/>
  <c r="A95" i="53" s="1"/>
  <c r="A46" i="53"/>
  <c r="A167" i="53" s="1"/>
  <c r="A234" i="53" s="1"/>
  <c r="A50" i="53"/>
  <c r="A103" i="53" s="1"/>
  <c r="A85" i="53"/>
  <c r="A50" i="55"/>
  <c r="A107" i="55" s="1"/>
  <c r="A159" i="55" s="1"/>
  <c r="A218" i="55" s="1"/>
  <c r="A272" i="55" s="1"/>
  <c r="A46" i="55"/>
  <c r="A103" i="55" s="1"/>
  <c r="A155" i="55" s="1"/>
  <c r="A214" i="55" s="1"/>
  <c r="A268" i="55" s="1"/>
  <c r="A42" i="55"/>
  <c r="A99" i="55" s="1"/>
  <c r="A151" i="55" s="1"/>
  <c r="A210" i="55" s="1"/>
  <c r="A264" i="55" s="1"/>
  <c r="A38" i="55"/>
  <c r="A95" i="55" s="1"/>
  <c r="A147" i="55" s="1"/>
  <c r="A206" i="55" s="1"/>
  <c r="A260" i="55" s="1"/>
  <c r="A41" i="55"/>
  <c r="A98" i="55" s="1"/>
  <c r="A150" i="55" s="1"/>
  <c r="A209" i="55" s="1"/>
  <c r="A263" i="55" s="1"/>
  <c r="A37" i="55"/>
  <c r="A94" i="55" s="1"/>
  <c r="A146" i="55" s="1"/>
  <c r="A205" i="55" s="1"/>
  <c r="A259" i="55" s="1"/>
  <c r="A53" i="55"/>
  <c r="A110" i="55" s="1"/>
  <c r="A162" i="55" s="1"/>
  <c r="A221" i="55" s="1"/>
  <c r="A52" i="55"/>
  <c r="A109" i="55" s="1"/>
  <c r="A161" i="55" s="1"/>
  <c r="A220" i="55" s="1"/>
  <c r="A274" i="55" s="1"/>
  <c r="A48" i="55"/>
  <c r="A105" i="55" s="1"/>
  <c r="A157" i="55" s="1"/>
  <c r="A216" i="55" s="1"/>
  <c r="A270" i="55" s="1"/>
  <c r="A44" i="55"/>
  <c r="A101" i="55" s="1"/>
  <c r="A153" i="55" s="1"/>
  <c r="A212" i="55" s="1"/>
  <c r="A266" i="55" s="1"/>
  <c r="A40" i="55"/>
  <c r="A97" i="55" s="1"/>
  <c r="A149" i="55" s="1"/>
  <c r="A208" i="55" s="1"/>
  <c r="A262" i="55" s="1"/>
  <c r="A36" i="55"/>
  <c r="A93" i="55" s="1"/>
  <c r="A145" i="55" s="1"/>
  <c r="A204" i="55" s="1"/>
  <c r="A258" i="55" s="1"/>
  <c r="A141" i="53"/>
  <c r="A208" i="53" s="1"/>
  <c r="A73" i="53"/>
  <c r="A108" i="81"/>
  <c r="A25" i="53" s="1"/>
  <c r="A148" i="53"/>
  <c r="A215" i="53" s="1"/>
  <c r="A80" i="53"/>
  <c r="A95" i="81"/>
  <c r="A12" i="53" s="1"/>
  <c r="A98" i="81"/>
  <c r="A15" i="53" s="1"/>
  <c r="A139" i="53"/>
  <c r="A206" i="53" s="1"/>
  <c r="A71" i="53"/>
  <c r="A106" i="81"/>
  <c r="A23" i="53" s="1"/>
  <c r="A94" i="81"/>
  <c r="A11" i="53" s="1"/>
  <c r="A100" i="81"/>
  <c r="A96" i="81"/>
  <c r="A13" i="53" s="1"/>
  <c r="A137" i="53"/>
  <c r="A204" i="53" s="1"/>
  <c r="A69" i="53"/>
  <c r="A104" i="81"/>
  <c r="A21" i="53" s="1"/>
  <c r="A145" i="53"/>
  <c r="A212" i="53" s="1"/>
  <c r="A77" i="53"/>
  <c r="A63" i="53"/>
  <c r="A131" i="53"/>
  <c r="A198" i="53" s="1"/>
  <c r="A135" i="53"/>
  <c r="A202" i="53" s="1"/>
  <c r="A67" i="53"/>
  <c r="A102" i="81"/>
  <c r="A19" i="53" s="1"/>
  <c r="A143" i="53"/>
  <c r="A210" i="53" s="1"/>
  <c r="A75" i="53"/>
  <c r="A56" i="53"/>
  <c r="A130" i="53"/>
  <c r="A197" i="53" s="1"/>
  <c r="A62" i="53"/>
  <c r="A110" i="53"/>
  <c r="A178" i="53"/>
  <c r="A242" i="53" s="1"/>
  <c r="A51" i="53"/>
  <c r="A33" i="53"/>
  <c r="A35" i="53"/>
  <c r="A37" i="53"/>
  <c r="A39" i="53"/>
  <c r="A41" i="53"/>
  <c r="A43" i="53"/>
  <c r="A45" i="53"/>
  <c r="A47" i="53"/>
  <c r="A49" i="53"/>
  <c r="A54" i="53"/>
  <c r="D24" i="21"/>
  <c r="G51" i="61"/>
  <c r="H31" i="48"/>
  <c r="H35" i="48"/>
  <c r="I23" i="48"/>
  <c r="H28" i="48"/>
  <c r="H36" i="48"/>
  <c r="H33" i="48"/>
  <c r="H37" i="48"/>
  <c r="H34" i="48"/>
  <c r="H38" i="48"/>
  <c r="A35" i="55"/>
  <c r="A92" i="55" s="1"/>
  <c r="A144" i="55" s="1"/>
  <c r="A203" i="55" s="1"/>
  <c r="A257" i="55" s="1"/>
  <c r="C24" i="21"/>
  <c r="H152" i="53"/>
  <c r="G219" i="53"/>
  <c r="G152" i="53"/>
  <c r="F152" i="53"/>
  <c r="E152" i="53"/>
  <c r="E219" i="53"/>
  <c r="I124" i="53"/>
  <c r="I219" i="53" s="1"/>
  <c r="H205" i="53"/>
  <c r="H214" i="53"/>
  <c r="H243" i="53"/>
  <c r="H219" i="53"/>
  <c r="G141" i="55"/>
  <c r="F141" i="55"/>
  <c r="E141" i="55"/>
  <c r="G199" i="55" s="1"/>
  <c r="G254" i="55"/>
  <c r="E51" i="61"/>
  <c r="B24" i="21"/>
  <c r="J10" i="48"/>
  <c r="C30" i="48"/>
  <c r="E34" i="48"/>
  <c r="C44" i="48"/>
  <c r="J8" i="48"/>
  <c r="G12" i="57"/>
  <c r="D5" i="62" s="1"/>
  <c r="J9" i="48"/>
  <c r="C29" i="48"/>
  <c r="E38" i="61"/>
  <c r="B10" i="21"/>
  <c r="D151" i="53"/>
  <c r="D218" i="53"/>
  <c r="D254" i="55"/>
  <c r="D14" i="81"/>
  <c r="D15" i="81"/>
  <c r="D17" i="81"/>
  <c r="D18" i="81"/>
  <c r="D19" i="81"/>
  <c r="D20" i="81"/>
  <c r="D21" i="81"/>
  <c r="D22" i="81"/>
  <c r="F38" i="61" l="1"/>
  <c r="C10" i="21"/>
  <c r="G17" i="42"/>
  <c r="F37" i="42"/>
  <c r="F43" i="42" s="1"/>
  <c r="D34" i="21" s="1"/>
  <c r="E154" i="29"/>
  <c r="D113" i="81"/>
  <c r="E32" i="48"/>
  <c r="F32" i="48"/>
  <c r="G32" i="48"/>
  <c r="E10" i="42"/>
  <c r="G21" i="42" s="1"/>
  <c r="G23" i="42" s="1"/>
  <c r="F9" i="42"/>
  <c r="H172" i="55"/>
  <c r="G294" i="55"/>
  <c r="G301" i="55" s="1"/>
  <c r="E32" i="21" s="1"/>
  <c r="G255" i="55"/>
  <c r="G280" i="55"/>
  <c r="G279" i="55"/>
  <c r="E218" i="53"/>
  <c r="E151" i="53"/>
  <c r="F51" i="61"/>
  <c r="H32" i="48"/>
  <c r="E31" i="48"/>
  <c r="G31" i="48"/>
  <c r="F31" i="48"/>
  <c r="C19" i="68"/>
  <c r="A157" i="53"/>
  <c r="A224" i="53" s="1"/>
  <c r="F119" i="84"/>
  <c r="F120" i="84"/>
  <c r="F121" i="84"/>
  <c r="F124" i="84"/>
  <c r="F122" i="84"/>
  <c r="C124" i="29"/>
  <c r="C139" i="29"/>
  <c r="C154" i="29"/>
  <c r="C169" i="29"/>
  <c r="G76" i="84"/>
  <c r="F116" i="84"/>
  <c r="F117" i="84"/>
  <c r="F7" i="62"/>
  <c r="G64" i="57"/>
  <c r="D115" i="84" s="1"/>
  <c r="F8" i="62"/>
  <c r="C42" i="22"/>
  <c r="C43" i="22" s="1"/>
  <c r="G42" i="22"/>
  <c r="K41" i="22"/>
  <c r="D42" i="22"/>
  <c r="E42" i="22"/>
  <c r="F42" i="22"/>
  <c r="H42" i="22"/>
  <c r="I42" i="22"/>
  <c r="C44" i="22"/>
  <c r="D41" i="22" s="1"/>
  <c r="C53" i="22"/>
  <c r="D54" i="22" s="1"/>
  <c r="F9" i="62"/>
  <c r="C47" i="22"/>
  <c r="C21" i="68"/>
  <c r="F81" i="84"/>
  <c r="D14" i="21" s="1"/>
  <c r="A169" i="53"/>
  <c r="A236" i="53" s="1"/>
  <c r="A99" i="53"/>
  <c r="A97" i="53"/>
  <c r="A91" i="53"/>
  <c r="A163" i="53"/>
  <c r="A230" i="53" s="1"/>
  <c r="A87" i="53"/>
  <c r="A106" i="53"/>
  <c r="A171" i="53"/>
  <c r="A238" i="53" s="1"/>
  <c r="A105" i="53"/>
  <c r="A93" i="53"/>
  <c r="A108" i="53"/>
  <c r="C40" i="53"/>
  <c r="C93" i="53" s="1"/>
  <c r="C34" i="29"/>
  <c r="E30" i="48"/>
  <c r="G30" i="48"/>
  <c r="I30" i="48"/>
  <c r="F30" i="48"/>
  <c r="H30" i="48"/>
  <c r="A175" i="53"/>
  <c r="A239" i="53" s="1"/>
  <c r="A107" i="53"/>
  <c r="A154" i="53"/>
  <c r="A221" i="53" s="1"/>
  <c r="A86" i="53"/>
  <c r="A172" i="53"/>
  <c r="A104" i="53"/>
  <c r="A133" i="53"/>
  <c r="A200" i="53" s="1"/>
  <c r="A65" i="53"/>
  <c r="C29" i="22"/>
  <c r="F5" i="62"/>
  <c r="C17" i="68"/>
  <c r="D28" i="81"/>
  <c r="D29" i="81"/>
  <c r="D24" i="81"/>
  <c r="D25" i="81"/>
  <c r="D26" i="81"/>
  <c r="D30" i="81"/>
  <c r="D27" i="81"/>
  <c r="D31" i="81"/>
  <c r="F19" i="81"/>
  <c r="H19" i="81" s="1"/>
  <c r="B97" i="81"/>
  <c r="F15" i="81"/>
  <c r="H15" i="81" s="1"/>
  <c r="B93" i="81"/>
  <c r="C43" i="48"/>
  <c r="J124" i="53"/>
  <c r="I205" i="53"/>
  <c r="I214" i="53"/>
  <c r="I243" i="53"/>
  <c r="I268" i="53"/>
  <c r="I152" i="53"/>
  <c r="I267" i="53"/>
  <c r="I265" i="53"/>
  <c r="I266" i="53"/>
  <c r="I33" i="48"/>
  <c r="I37" i="48"/>
  <c r="I34" i="48"/>
  <c r="I38" i="48"/>
  <c r="J23" i="48"/>
  <c r="J29" i="48" s="1"/>
  <c r="I31" i="48"/>
  <c r="I35" i="48"/>
  <c r="I28" i="48"/>
  <c r="I32" i="48"/>
  <c r="I36" i="48"/>
  <c r="I52" i="48"/>
  <c r="I56" i="48" s="1"/>
  <c r="F35" i="21" s="1"/>
  <c r="A170" i="53"/>
  <c r="A237" i="53" s="1"/>
  <c r="A102" i="53"/>
  <c r="A166" i="53"/>
  <c r="A233" i="53" s="1"/>
  <c r="A98" i="53"/>
  <c r="A162" i="53"/>
  <c r="A229" i="53" s="1"/>
  <c r="A94" i="53"/>
  <c r="A158" i="53"/>
  <c r="A225" i="53" s="1"/>
  <c r="A90" i="53"/>
  <c r="A177" i="53"/>
  <c r="A241" i="53" s="1"/>
  <c r="A109" i="53"/>
  <c r="A66" i="53"/>
  <c r="A134" i="53"/>
  <c r="A201" i="53" s="1"/>
  <c r="A78" i="53"/>
  <c r="A146" i="53"/>
  <c r="A213" i="53" s="1"/>
  <c r="F20" i="81"/>
  <c r="H20" i="81" s="1"/>
  <c r="B98" i="81"/>
  <c r="F14" i="81"/>
  <c r="H14" i="81" s="1"/>
  <c r="B92" i="81"/>
  <c r="J14" i="81"/>
  <c r="L14" i="81"/>
  <c r="N14" i="81"/>
  <c r="K14" i="81"/>
  <c r="M14" i="81"/>
  <c r="E29" i="48"/>
  <c r="G29" i="48"/>
  <c r="I29" i="48"/>
  <c r="F29" i="48"/>
  <c r="F39" i="48" s="1"/>
  <c r="H29" i="48"/>
  <c r="E44" i="48"/>
  <c r="H44" i="48"/>
  <c r="I44" i="48"/>
  <c r="F44" i="48"/>
  <c r="G44" i="48"/>
  <c r="C41" i="53"/>
  <c r="C94" i="53" s="1"/>
  <c r="A164" i="53"/>
  <c r="A231" i="53" s="1"/>
  <c r="A96" i="53"/>
  <c r="A160" i="53"/>
  <c r="A227" i="53" s="1"/>
  <c r="A92" i="53"/>
  <c r="A156" i="53"/>
  <c r="A223" i="53" s="1"/>
  <c r="A88" i="53"/>
  <c r="A72" i="53"/>
  <c r="A140" i="53"/>
  <c r="A207" i="53" s="1"/>
  <c r="A74" i="53"/>
  <c r="A142" i="53"/>
  <c r="A209" i="53" s="1"/>
  <c r="A76" i="53"/>
  <c r="A144" i="53"/>
  <c r="A211" i="53" s="1"/>
  <c r="A68" i="53"/>
  <c r="A136" i="53"/>
  <c r="A203" i="53" s="1"/>
  <c r="F22" i="81"/>
  <c r="H22" i="81" s="1"/>
  <c r="B100" i="81"/>
  <c r="C100" i="81" s="1"/>
  <c r="D100" i="81" s="1"/>
  <c r="E100" i="81" s="1"/>
  <c r="F100" i="81" s="1"/>
  <c r="G100" i="81" s="1"/>
  <c r="H100" i="81" s="1"/>
  <c r="F18" i="81"/>
  <c r="H18" i="81" s="1"/>
  <c r="B96" i="81"/>
  <c r="F21" i="81"/>
  <c r="H21" i="81" s="1"/>
  <c r="B99" i="81"/>
  <c r="F17" i="81"/>
  <c r="H17" i="81" s="1"/>
  <c r="B95" i="81"/>
  <c r="D36" i="81"/>
  <c r="D35" i="81"/>
  <c r="F35" i="81" s="1"/>
  <c r="H35" i="81" s="1"/>
  <c r="D34" i="81"/>
  <c r="D33" i="81"/>
  <c r="C39" i="53"/>
  <c r="C92" i="53" s="1"/>
  <c r="A168" i="53"/>
  <c r="A235" i="53" s="1"/>
  <c r="A100" i="53"/>
  <c r="A132" i="53"/>
  <c r="A199" i="53" s="1"/>
  <c r="A64" i="53"/>
  <c r="F45" i="42" l="1"/>
  <c r="F47" i="42" s="1"/>
  <c r="G37" i="42"/>
  <c r="G43" i="42" s="1"/>
  <c r="E34" i="21" s="1"/>
  <c r="G28" i="42"/>
  <c r="G29" i="42"/>
  <c r="G27" i="42"/>
  <c r="G34" i="42" s="1"/>
  <c r="H17" i="42"/>
  <c r="G39" i="48"/>
  <c r="E113" i="81"/>
  <c r="E30" i="53"/>
  <c r="E83" i="53" s="1"/>
  <c r="D34" i="29"/>
  <c r="D154" i="29"/>
  <c r="D169" i="29"/>
  <c r="D124" i="29"/>
  <c r="D139" i="29"/>
  <c r="I172" i="55"/>
  <c r="H255" i="55"/>
  <c r="H279" i="55"/>
  <c r="H294" i="55"/>
  <c r="H301" i="55" s="1"/>
  <c r="F32" i="21" s="1"/>
  <c r="H280" i="55"/>
  <c r="H223" i="55"/>
  <c r="H222" i="55"/>
  <c r="H221" i="55"/>
  <c r="H254" i="55"/>
  <c r="J44" i="48"/>
  <c r="H199" i="55"/>
  <c r="H38" i="61"/>
  <c r="E10" i="21"/>
  <c r="H39" i="48"/>
  <c r="H35" i="61" s="1"/>
  <c r="E39" i="48"/>
  <c r="I273" i="53"/>
  <c r="G36" i="21" s="1"/>
  <c r="F10" i="42"/>
  <c r="H21" i="42" s="1"/>
  <c r="H23" i="42" s="1"/>
  <c r="G9" i="42"/>
  <c r="G119" i="84"/>
  <c r="G123" i="84"/>
  <c r="G121" i="84"/>
  <c r="G122" i="84"/>
  <c r="G120" i="84"/>
  <c r="G124" i="84"/>
  <c r="E54" i="22"/>
  <c r="E115" i="84"/>
  <c r="F115" i="84"/>
  <c r="D114" i="84"/>
  <c r="H76" i="84"/>
  <c r="H119" i="84" s="1"/>
  <c r="G115" i="84"/>
  <c r="G116" i="84"/>
  <c r="G117" i="84"/>
  <c r="I54" i="22"/>
  <c r="D6" i="62"/>
  <c r="F6" i="62" s="1"/>
  <c r="D111" i="57"/>
  <c r="D116" i="57" s="1"/>
  <c r="D10" i="62" s="1"/>
  <c r="G54" i="22"/>
  <c r="K53" i="22"/>
  <c r="K54" i="22" s="1"/>
  <c r="K55" i="22" s="1"/>
  <c r="F54" i="22"/>
  <c r="C54" i="22"/>
  <c r="C55" i="22" s="1"/>
  <c r="D55" i="22" s="1"/>
  <c r="D44" i="22"/>
  <c r="E41" i="22" s="1"/>
  <c r="E44" i="22" s="1"/>
  <c r="D43" i="22"/>
  <c r="E43" i="22" s="1"/>
  <c r="F43" i="22" s="1"/>
  <c r="G43" i="22" s="1"/>
  <c r="H54" i="22"/>
  <c r="K42" i="22"/>
  <c r="K43" i="22" s="1"/>
  <c r="C48" i="22"/>
  <c r="C49" i="22" s="1"/>
  <c r="K47" i="22"/>
  <c r="E48" i="22"/>
  <c r="I48" i="22"/>
  <c r="D48" i="22"/>
  <c r="F48" i="22"/>
  <c r="H48" i="22"/>
  <c r="G48" i="22"/>
  <c r="G81" i="84"/>
  <c r="E14" i="21" s="1"/>
  <c r="C33" i="53"/>
  <c r="C86" i="53" s="1"/>
  <c r="D221" i="53" s="1"/>
  <c r="C35" i="53"/>
  <c r="C88" i="53" s="1"/>
  <c r="E11" i="21"/>
  <c r="D161" i="53"/>
  <c r="D228" i="53"/>
  <c r="C57" i="53"/>
  <c r="C110" i="53" s="1"/>
  <c r="F34" i="81"/>
  <c r="H34" i="81" s="1"/>
  <c r="B111" i="81"/>
  <c r="B110" i="81"/>
  <c r="B70" i="81"/>
  <c r="B45" i="81"/>
  <c r="C34" i="53"/>
  <c r="C87" i="53" s="1"/>
  <c r="B50" i="81"/>
  <c r="B75" i="81"/>
  <c r="E35" i="61"/>
  <c r="B11" i="21"/>
  <c r="C9" i="53"/>
  <c r="C62" i="53" s="1"/>
  <c r="C92" i="81"/>
  <c r="C15" i="53"/>
  <c r="C68" i="53" s="1"/>
  <c r="C98" i="81"/>
  <c r="C36" i="53"/>
  <c r="C89" i="53" s="1"/>
  <c r="B47" i="81"/>
  <c r="B72" i="81"/>
  <c r="B103" i="81"/>
  <c r="F26" i="81"/>
  <c r="H26" i="81" s="1"/>
  <c r="B105" i="81"/>
  <c r="F28" i="81"/>
  <c r="H28" i="81" s="1"/>
  <c r="D33" i="53"/>
  <c r="D86" i="53" s="1"/>
  <c r="D39" i="53"/>
  <c r="D92" i="53" s="1"/>
  <c r="B61" i="81"/>
  <c r="B86" i="81"/>
  <c r="C86" i="81" s="1"/>
  <c r="D86" i="81" s="1"/>
  <c r="E86" i="81" s="1"/>
  <c r="F86" i="81" s="1"/>
  <c r="G86" i="81" s="1"/>
  <c r="H86" i="81" s="1"/>
  <c r="C16" i="53"/>
  <c r="C69" i="53" s="1"/>
  <c r="C99" i="81"/>
  <c r="C13" i="53"/>
  <c r="C66" i="53" s="1"/>
  <c r="C96" i="81"/>
  <c r="F35" i="61"/>
  <c r="C11" i="21"/>
  <c r="B42" i="81"/>
  <c r="B67" i="81"/>
  <c r="B73" i="81"/>
  <c r="B48" i="81"/>
  <c r="J219" i="53"/>
  <c r="J214" i="53"/>
  <c r="J243" i="53"/>
  <c r="J205" i="53"/>
  <c r="J152" i="53"/>
  <c r="J268" i="53"/>
  <c r="J265" i="53"/>
  <c r="J266" i="53"/>
  <c r="J267" i="53"/>
  <c r="B35" i="55"/>
  <c r="C10" i="53"/>
  <c r="C63" i="53" s="1"/>
  <c r="C93" i="81"/>
  <c r="B108" i="81"/>
  <c r="F31" i="81"/>
  <c r="H31" i="81" s="1"/>
  <c r="B102" i="81"/>
  <c r="F25" i="81"/>
  <c r="H25" i="81" s="1"/>
  <c r="C30" i="22"/>
  <c r="C31" i="22" s="1"/>
  <c r="F30" i="22"/>
  <c r="E30" i="22"/>
  <c r="D30" i="22"/>
  <c r="H30" i="22"/>
  <c r="G30" i="22"/>
  <c r="I30" i="22"/>
  <c r="K29" i="22"/>
  <c r="C37" i="53"/>
  <c r="C90" i="53" s="1"/>
  <c r="B43" i="55"/>
  <c r="B100" i="55" s="1"/>
  <c r="D160" i="53"/>
  <c r="D227" i="53"/>
  <c r="C38" i="53"/>
  <c r="C91" i="53" s="1"/>
  <c r="B112" i="81"/>
  <c r="F36" i="81"/>
  <c r="H36" i="81" s="1"/>
  <c r="B74" i="81"/>
  <c r="B49" i="81"/>
  <c r="B46" i="81"/>
  <c r="B71" i="81"/>
  <c r="C56" i="53"/>
  <c r="C109" i="53" s="1"/>
  <c r="H51" i="61"/>
  <c r="E24" i="21"/>
  <c r="G45" i="42"/>
  <c r="G47" i="42" s="1"/>
  <c r="D41" i="53"/>
  <c r="D94" i="53" s="1"/>
  <c r="C54" i="53"/>
  <c r="C107" i="53" s="1"/>
  <c r="J33" i="48"/>
  <c r="K23" i="48"/>
  <c r="K43" i="48" s="1"/>
  <c r="J35" i="48"/>
  <c r="J31" i="48"/>
  <c r="J36" i="48"/>
  <c r="J32" i="48"/>
  <c r="J37" i="48"/>
  <c r="J28" i="48"/>
  <c r="J34" i="48"/>
  <c r="J38" i="48"/>
  <c r="J52" i="48"/>
  <c r="J56" i="48" s="1"/>
  <c r="G35" i="21" s="1"/>
  <c r="E43" i="48"/>
  <c r="E49" i="48" s="1"/>
  <c r="I43" i="48"/>
  <c r="I49" i="48" s="1"/>
  <c r="J43" i="48"/>
  <c r="J49" i="48" s="1"/>
  <c r="F43" i="48"/>
  <c r="F49" i="48" s="1"/>
  <c r="G43" i="48"/>
  <c r="G49" i="48" s="1"/>
  <c r="H43" i="48"/>
  <c r="H49" i="48" s="1"/>
  <c r="C55" i="53"/>
  <c r="C108" i="53" s="1"/>
  <c r="B43" i="81"/>
  <c r="B68" i="81"/>
  <c r="B104" i="81"/>
  <c r="F27" i="81"/>
  <c r="H27" i="81" s="1"/>
  <c r="B101" i="81"/>
  <c r="F24" i="81"/>
  <c r="H24" i="81" s="1"/>
  <c r="B42" i="55"/>
  <c r="B99" i="55" s="1"/>
  <c r="J30" i="48"/>
  <c r="B41" i="55"/>
  <c r="B98" i="55" s="1"/>
  <c r="F33" i="81"/>
  <c r="H33" i="81" s="1"/>
  <c r="B109" i="81"/>
  <c r="C109" i="81" s="1"/>
  <c r="D109" i="81" s="1"/>
  <c r="E109" i="81" s="1"/>
  <c r="F109" i="81" s="1"/>
  <c r="G109" i="81" s="1"/>
  <c r="H109" i="81" s="1"/>
  <c r="C12" i="53"/>
  <c r="C65" i="53" s="1"/>
  <c r="C95" i="81"/>
  <c r="C11" i="53"/>
  <c r="C64" i="53" s="1"/>
  <c r="D162" i="53"/>
  <c r="D229" i="53"/>
  <c r="G35" i="61"/>
  <c r="D11" i="21"/>
  <c r="I39" i="48"/>
  <c r="C14" i="53"/>
  <c r="C67" i="53" s="1"/>
  <c r="C97" i="81"/>
  <c r="F30" i="81"/>
  <c r="H30" i="81" s="1"/>
  <c r="B107" i="81"/>
  <c r="B106" i="81"/>
  <c r="F29" i="81"/>
  <c r="H29" i="81" s="1"/>
  <c r="E55" i="22" l="1"/>
  <c r="F30" i="53"/>
  <c r="F83" i="53" s="1"/>
  <c r="F113" i="81"/>
  <c r="I17" i="42"/>
  <c r="H37" i="42"/>
  <c r="H43" i="42" s="1"/>
  <c r="F34" i="21" s="1"/>
  <c r="H29" i="42"/>
  <c r="H27" i="42"/>
  <c r="H34" i="42" s="1"/>
  <c r="H28" i="42"/>
  <c r="F151" i="53"/>
  <c r="F218" i="53"/>
  <c r="F124" i="29"/>
  <c r="F34" i="29"/>
  <c r="F139" i="29"/>
  <c r="F154" i="29"/>
  <c r="F169" i="29"/>
  <c r="G10" i="42"/>
  <c r="I21" i="42" s="1"/>
  <c r="I23" i="42" s="1"/>
  <c r="H9" i="42"/>
  <c r="H10" i="42" s="1"/>
  <c r="I38" i="61"/>
  <c r="F10" i="21"/>
  <c r="J172" i="55"/>
  <c r="I279" i="55"/>
  <c r="I294" i="55"/>
  <c r="I301" i="55" s="1"/>
  <c r="G32" i="21" s="1"/>
  <c r="I280" i="55"/>
  <c r="I255" i="55"/>
  <c r="I221" i="55"/>
  <c r="I254" i="55"/>
  <c r="I222" i="55"/>
  <c r="I223" i="55"/>
  <c r="I199" i="55"/>
  <c r="C50" i="22"/>
  <c r="D47" i="22" s="1"/>
  <c r="D50" i="22" s="1"/>
  <c r="E47" i="22" s="1"/>
  <c r="E50" i="22" s="1"/>
  <c r="F47" i="22" s="1"/>
  <c r="F50" i="22" s="1"/>
  <c r="G47" i="22" s="1"/>
  <c r="G50" i="22" s="1"/>
  <c r="H47" i="22" s="1"/>
  <c r="H50" i="22" s="1"/>
  <c r="I47" i="22" s="1"/>
  <c r="I50" i="22" s="1"/>
  <c r="H122" i="84"/>
  <c r="H124" i="84"/>
  <c r="H123" i="84"/>
  <c r="H121" i="84"/>
  <c r="F114" i="84"/>
  <c r="F126" i="84" s="1"/>
  <c r="D37" i="21" s="1"/>
  <c r="D40" i="21" s="1"/>
  <c r="D126" i="84"/>
  <c r="B37" i="21" s="1"/>
  <c r="B40" i="21" s="1"/>
  <c r="H120" i="84"/>
  <c r="I78" i="22"/>
  <c r="E78" i="22"/>
  <c r="H78" i="22"/>
  <c r="D78" i="22"/>
  <c r="G78" i="22"/>
  <c r="C78" i="22"/>
  <c r="F78" i="22"/>
  <c r="E20" i="62"/>
  <c r="E140" i="29"/>
  <c r="E155" i="29"/>
  <c r="E170" i="29"/>
  <c r="E125" i="29"/>
  <c r="D140" i="29"/>
  <c r="D155" i="29"/>
  <c r="D170" i="29"/>
  <c r="D125" i="29"/>
  <c r="F170" i="29"/>
  <c r="F140" i="29"/>
  <c r="F155" i="29"/>
  <c r="F125" i="29"/>
  <c r="C125" i="29"/>
  <c r="C155" i="29"/>
  <c r="C170" i="29"/>
  <c r="C140" i="29"/>
  <c r="G114" i="84"/>
  <c r="G126" i="84" s="1"/>
  <c r="E114" i="84"/>
  <c r="C56" i="22"/>
  <c r="D53" i="22" s="1"/>
  <c r="D56" i="22" s="1"/>
  <c r="E53" i="22" s="1"/>
  <c r="E56" i="22" s="1"/>
  <c r="F53" i="22" s="1"/>
  <c r="F56" i="22" s="1"/>
  <c r="G53" i="22" s="1"/>
  <c r="G56" i="22" s="1"/>
  <c r="H53" i="22" s="1"/>
  <c r="H56" i="22" s="1"/>
  <c r="I53" i="22" s="1"/>
  <c r="I56" i="22" s="1"/>
  <c r="F55" i="22"/>
  <c r="G55" i="22" s="1"/>
  <c r="H55" i="22" s="1"/>
  <c r="I55" i="22" s="1"/>
  <c r="I76" i="84"/>
  <c r="I119" i="84" s="1"/>
  <c r="H117" i="84"/>
  <c r="H114" i="84"/>
  <c r="H116" i="84"/>
  <c r="H115" i="84"/>
  <c r="C32" i="22"/>
  <c r="D29" i="22" s="1"/>
  <c r="D32" i="22" s="1"/>
  <c r="E29" i="22" s="1"/>
  <c r="E32" i="22" s="1"/>
  <c r="F29" i="22" s="1"/>
  <c r="F32" i="22" s="1"/>
  <c r="G29" i="22" s="1"/>
  <c r="G32" i="22" s="1"/>
  <c r="H29" i="22" s="1"/>
  <c r="H32" i="22" s="1"/>
  <c r="I29" i="22" s="1"/>
  <c r="I32" i="22" s="1"/>
  <c r="C35" i="22"/>
  <c r="E36" i="22" s="1"/>
  <c r="E58" i="22" s="1"/>
  <c r="D46" i="21" s="1"/>
  <c r="C18" i="68"/>
  <c r="C22" i="68"/>
  <c r="F10" i="62"/>
  <c r="F12" i="62" s="1"/>
  <c r="E19" i="62" s="1"/>
  <c r="K44" i="22"/>
  <c r="L41" i="22" s="1"/>
  <c r="L42" i="22" s="1"/>
  <c r="L44" i="22" s="1"/>
  <c r="M41" i="22" s="1"/>
  <c r="K48" i="22"/>
  <c r="K49" i="22" s="1"/>
  <c r="D49" i="22"/>
  <c r="E49" i="22" s="1"/>
  <c r="F49" i="22" s="1"/>
  <c r="G49" i="22" s="1"/>
  <c r="H49" i="22" s="1"/>
  <c r="I49" i="22" s="1"/>
  <c r="H81" i="84"/>
  <c r="F14" i="21" s="1"/>
  <c r="D40" i="53"/>
  <c r="D93" i="53" s="1"/>
  <c r="E161" i="53" s="1"/>
  <c r="D154" i="53"/>
  <c r="D223" i="53"/>
  <c r="D156" i="53"/>
  <c r="D35" i="53"/>
  <c r="D88" i="53" s="1"/>
  <c r="B37" i="55"/>
  <c r="B94" i="55" s="1"/>
  <c r="C51" i="53"/>
  <c r="C104" i="53" s="1"/>
  <c r="D172" i="53" s="1"/>
  <c r="C23" i="53"/>
  <c r="C76" i="53" s="1"/>
  <c r="C106" i="81"/>
  <c r="D135" i="53"/>
  <c r="D202" i="53"/>
  <c r="B36" i="55"/>
  <c r="B93" i="55" s="1"/>
  <c r="J38" i="61"/>
  <c r="G10" i="21"/>
  <c r="C52" i="53"/>
  <c r="C105" i="53" s="1"/>
  <c r="D173" i="53" s="1"/>
  <c r="B51" i="81"/>
  <c r="B76" i="81"/>
  <c r="C68" i="81"/>
  <c r="E25" i="21"/>
  <c r="H48" i="61"/>
  <c r="H57" i="48"/>
  <c r="H59" i="48" s="1"/>
  <c r="I48" i="61"/>
  <c r="F25" i="21"/>
  <c r="I57" i="48"/>
  <c r="J39" i="48"/>
  <c r="D241" i="53"/>
  <c r="D177" i="53"/>
  <c r="C74" i="81"/>
  <c r="D226" i="53"/>
  <c r="D159" i="53"/>
  <c r="C49" i="53"/>
  <c r="C102" i="53" s="1"/>
  <c r="D265" i="55"/>
  <c r="B152" i="55"/>
  <c r="D211" i="55" s="1"/>
  <c r="D158" i="53"/>
  <c r="D225" i="53"/>
  <c r="B52" i="81"/>
  <c r="B77" i="81"/>
  <c r="D93" i="81"/>
  <c r="D10" i="53"/>
  <c r="D63" i="53" s="1"/>
  <c r="C35" i="55"/>
  <c r="J273" i="53"/>
  <c r="H36" i="21" s="1"/>
  <c r="B11" i="55"/>
  <c r="C42" i="81"/>
  <c r="D35" i="29"/>
  <c r="K56" i="22"/>
  <c r="L53" i="22" s="1"/>
  <c r="D99" i="81"/>
  <c r="D16" i="53"/>
  <c r="D69" i="53" s="1"/>
  <c r="E221" i="53"/>
  <c r="E154" i="53"/>
  <c r="C20" i="53"/>
  <c r="C73" i="53" s="1"/>
  <c r="C103" i="81"/>
  <c r="D157" i="53"/>
  <c r="D224" i="53"/>
  <c r="D136" i="53"/>
  <c r="D203" i="53"/>
  <c r="C35" i="29"/>
  <c r="H43" i="22"/>
  <c r="C75" i="81"/>
  <c r="B14" i="55"/>
  <c r="B71" i="55" s="1"/>
  <c r="C45" i="81"/>
  <c r="B60" i="81"/>
  <c r="B85" i="81"/>
  <c r="C47" i="53"/>
  <c r="C100" i="53" s="1"/>
  <c r="C24" i="53"/>
  <c r="C77" i="53" s="1"/>
  <c r="C107" i="81"/>
  <c r="B59" i="81"/>
  <c r="B84" i="81"/>
  <c r="C48" i="53"/>
  <c r="C101" i="53" s="1"/>
  <c r="E40" i="53"/>
  <c r="E93" i="53" s="1"/>
  <c r="C41" i="55"/>
  <c r="C98" i="55" s="1"/>
  <c r="C18" i="53"/>
  <c r="C71" i="53" s="1"/>
  <c r="C101" i="81"/>
  <c r="B12" i="55"/>
  <c r="B69" i="55" s="1"/>
  <c r="C43" i="81"/>
  <c r="G48" i="61"/>
  <c r="D25" i="21"/>
  <c r="G57" i="48"/>
  <c r="G59" i="48" s="1"/>
  <c r="C71" i="81"/>
  <c r="B62" i="81"/>
  <c r="B87" i="81"/>
  <c r="C87" i="81" s="1"/>
  <c r="D87" i="81" s="1"/>
  <c r="E87" i="81" s="1"/>
  <c r="F87" i="81" s="1"/>
  <c r="G87" i="81" s="1"/>
  <c r="H87" i="81" s="1"/>
  <c r="F24" i="21"/>
  <c r="I51" i="61"/>
  <c r="H45" i="42"/>
  <c r="H47" i="42" s="1"/>
  <c r="D31" i="22"/>
  <c r="E31" i="22" s="1"/>
  <c r="F31" i="22" s="1"/>
  <c r="G31" i="22" s="1"/>
  <c r="H31" i="22" s="1"/>
  <c r="I31" i="22" s="1"/>
  <c r="C19" i="53"/>
  <c r="C72" i="53" s="1"/>
  <c r="C102" i="81"/>
  <c r="D131" i="53"/>
  <c r="D198" i="53"/>
  <c r="B92" i="55"/>
  <c r="B17" i="55"/>
  <c r="B74" i="55" s="1"/>
  <c r="C48" i="81"/>
  <c r="B56" i="55"/>
  <c r="B113" i="55" s="1"/>
  <c r="B58" i="55"/>
  <c r="B115" i="55" s="1"/>
  <c r="D137" i="53"/>
  <c r="D204" i="53"/>
  <c r="B40" i="55"/>
  <c r="B97" i="55" s="1"/>
  <c r="C42" i="53"/>
  <c r="C95" i="53" s="1"/>
  <c r="C50" i="53"/>
  <c r="C103" i="53" s="1"/>
  <c r="E33" i="53"/>
  <c r="E86" i="53" s="1"/>
  <c r="B39" i="55"/>
  <c r="B96" i="55" s="1"/>
  <c r="B55" i="81"/>
  <c r="B80" i="81"/>
  <c r="C72" i="81"/>
  <c r="D92" i="81"/>
  <c r="D9" i="53"/>
  <c r="D62" i="53" s="1"/>
  <c r="B19" i="55"/>
  <c r="B76" i="55" s="1"/>
  <c r="C50" i="81"/>
  <c r="C70" i="81"/>
  <c r="D57" i="53"/>
  <c r="D110" i="53" s="1"/>
  <c r="B57" i="81"/>
  <c r="B82" i="81"/>
  <c r="B38" i="55"/>
  <c r="B95" i="55" s="1"/>
  <c r="D11" i="53"/>
  <c r="D64" i="53" s="1"/>
  <c r="D95" i="81"/>
  <c r="D12" i="53"/>
  <c r="D65" i="53" s="1"/>
  <c r="B150" i="55"/>
  <c r="D209" i="55" s="1"/>
  <c r="D263" i="55"/>
  <c r="C42" i="55"/>
  <c r="C99" i="55" s="1"/>
  <c r="B54" i="81"/>
  <c r="B79" i="81"/>
  <c r="D55" i="53"/>
  <c r="D108" i="53" s="1"/>
  <c r="C25" i="21"/>
  <c r="F48" i="61"/>
  <c r="F57" i="48"/>
  <c r="F59" i="48" s="1"/>
  <c r="E48" i="61"/>
  <c r="B25" i="21"/>
  <c r="E57" i="48"/>
  <c r="E59" i="48" s="1"/>
  <c r="K33" i="48"/>
  <c r="K37" i="48"/>
  <c r="K34" i="48"/>
  <c r="K38" i="48"/>
  <c r="K31" i="48"/>
  <c r="K35" i="48"/>
  <c r="K28" i="48"/>
  <c r="K32" i="48"/>
  <c r="K36" i="48"/>
  <c r="K52" i="48"/>
  <c r="K56" i="48" s="1"/>
  <c r="H35" i="21" s="1"/>
  <c r="K29" i="48"/>
  <c r="K44" i="48"/>
  <c r="K49" i="48" s="1"/>
  <c r="K30" i="48"/>
  <c r="D54" i="53"/>
  <c r="D107" i="53" s="1"/>
  <c r="E229" i="53"/>
  <c r="E162" i="53"/>
  <c r="B15" i="55"/>
  <c r="B72" i="55" s="1"/>
  <c r="C46" i="81"/>
  <c r="C29" i="53"/>
  <c r="C82" i="53" s="1"/>
  <c r="C112" i="81"/>
  <c r="C45" i="53"/>
  <c r="C98" i="53" s="1"/>
  <c r="C53" i="53"/>
  <c r="C106" i="53" s="1"/>
  <c r="D174" i="53" s="1"/>
  <c r="K30" i="22"/>
  <c r="K31" i="22" s="1"/>
  <c r="B58" i="81"/>
  <c r="B83" i="81"/>
  <c r="C73" i="81"/>
  <c r="D96" i="81"/>
  <c r="D13" i="53"/>
  <c r="D66" i="53" s="1"/>
  <c r="E227" i="53"/>
  <c r="E160" i="53"/>
  <c r="F41" i="22"/>
  <c r="C22" i="53"/>
  <c r="C75" i="53" s="1"/>
  <c r="C105" i="81"/>
  <c r="B16" i="55"/>
  <c r="B73" i="55" s="1"/>
  <c r="C47" i="81"/>
  <c r="D130" i="53"/>
  <c r="D197" i="53"/>
  <c r="B13" i="55"/>
  <c r="B70" i="55" s="1"/>
  <c r="D34" i="53"/>
  <c r="D87" i="53" s="1"/>
  <c r="C27" i="53"/>
  <c r="C80" i="53" s="1"/>
  <c r="C110" i="81"/>
  <c r="D178" i="53"/>
  <c r="D242" i="53"/>
  <c r="C43" i="53"/>
  <c r="C96" i="53" s="1"/>
  <c r="F35" i="29"/>
  <c r="B56" i="81"/>
  <c r="B81" i="81"/>
  <c r="D97" i="81"/>
  <c r="D14" i="53"/>
  <c r="D67" i="53" s="1"/>
  <c r="I35" i="61"/>
  <c r="F11" i="21"/>
  <c r="I59" i="48"/>
  <c r="E35" i="29"/>
  <c r="D132" i="53"/>
  <c r="D199" i="53"/>
  <c r="D133" i="53"/>
  <c r="D200" i="53"/>
  <c r="B59" i="55"/>
  <c r="B116" i="55" s="1"/>
  <c r="C44" i="53"/>
  <c r="C97" i="53" s="1"/>
  <c r="B151" i="55"/>
  <c r="D210" i="55" s="1"/>
  <c r="D264" i="55"/>
  <c r="C21" i="53"/>
  <c r="C74" i="53" s="1"/>
  <c r="C104" i="81"/>
  <c r="D176" i="53"/>
  <c r="D240" i="53"/>
  <c r="G25" i="21"/>
  <c r="J48" i="61"/>
  <c r="J57" i="48"/>
  <c r="D175" i="53"/>
  <c r="D239" i="53"/>
  <c r="E41" i="53"/>
  <c r="E94" i="53" s="1"/>
  <c r="D56" i="53"/>
  <c r="D109" i="53" s="1"/>
  <c r="B18" i="55"/>
  <c r="B75" i="55" s="1"/>
  <c r="C49" i="81"/>
  <c r="D38" i="53"/>
  <c r="D91" i="53" s="1"/>
  <c r="C43" i="55"/>
  <c r="C100" i="55" s="1"/>
  <c r="D37" i="53"/>
  <c r="D90" i="53" s="1"/>
  <c r="C25" i="53"/>
  <c r="C78" i="53" s="1"/>
  <c r="C108" i="81"/>
  <c r="B57" i="55"/>
  <c r="B114" i="55" s="1"/>
  <c r="C67" i="81"/>
  <c r="D134" i="53"/>
  <c r="D201" i="53"/>
  <c r="B30" i="55"/>
  <c r="B87" i="55" s="1"/>
  <c r="C61" i="81"/>
  <c r="C46" i="53"/>
  <c r="C99" i="53" s="1"/>
  <c r="E39" i="53"/>
  <c r="E92" i="53" s="1"/>
  <c r="B53" i="81"/>
  <c r="B78" i="81"/>
  <c r="D45" i="83"/>
  <c r="D36" i="53"/>
  <c r="D89" i="53" s="1"/>
  <c r="D98" i="81"/>
  <c r="D15" i="53"/>
  <c r="D68" i="53" s="1"/>
  <c r="D155" i="53"/>
  <c r="D222" i="53"/>
  <c r="C28" i="53"/>
  <c r="C81" i="53" s="1"/>
  <c r="C111" i="81"/>
  <c r="I29" i="42" l="1"/>
  <c r="J17" i="42"/>
  <c r="I37" i="42"/>
  <c r="I43" i="42" s="1"/>
  <c r="G34" i="21" s="1"/>
  <c r="I27" i="42"/>
  <c r="I34" i="42" s="1"/>
  <c r="I28" i="42"/>
  <c r="G30" i="53"/>
  <c r="G83" i="53" s="1"/>
  <c r="G113" i="81"/>
  <c r="G218" i="53"/>
  <c r="G151" i="53"/>
  <c r="J294" i="55"/>
  <c r="J301" i="55" s="1"/>
  <c r="H32" i="21" s="1"/>
  <c r="J255" i="55"/>
  <c r="J254" i="55"/>
  <c r="J279" i="55"/>
  <c r="J222" i="55"/>
  <c r="J221" i="55"/>
  <c r="J280" i="55"/>
  <c r="J223" i="55"/>
  <c r="J199" i="55"/>
  <c r="G124" i="29"/>
  <c r="G169" i="29"/>
  <c r="G139" i="29"/>
  <c r="G34" i="29"/>
  <c r="G154" i="29"/>
  <c r="D4" i="23"/>
  <c r="D8" i="23" s="1"/>
  <c r="F53" i="23" s="1"/>
  <c r="H20" i="62"/>
  <c r="B35" i="69"/>
  <c r="K35" i="69" s="1"/>
  <c r="H19" i="62"/>
  <c r="I123" i="84"/>
  <c r="C131" i="29"/>
  <c r="E126" i="84"/>
  <c r="C37" i="21" s="1"/>
  <c r="C40" i="21" s="1"/>
  <c r="I120" i="84"/>
  <c r="I121" i="84"/>
  <c r="H126" i="84"/>
  <c r="F37" i="21" s="1"/>
  <c r="F40" i="21" s="1"/>
  <c r="I124" i="84"/>
  <c r="I122" i="84"/>
  <c r="H124" i="29"/>
  <c r="H139" i="29"/>
  <c r="H154" i="29"/>
  <c r="H169" i="29"/>
  <c r="G125" i="29"/>
  <c r="G140" i="29"/>
  <c r="G155" i="29"/>
  <c r="G170" i="29"/>
  <c r="C10" i="68"/>
  <c r="C161" i="29"/>
  <c r="C176" i="29"/>
  <c r="C146" i="29"/>
  <c r="C25" i="68"/>
  <c r="H47" i="21"/>
  <c r="I79" i="22"/>
  <c r="G47" i="21"/>
  <c r="H79" i="22"/>
  <c r="E161" i="29"/>
  <c r="E146" i="29"/>
  <c r="E131" i="29"/>
  <c r="E176" i="29"/>
  <c r="I36" i="22"/>
  <c r="I58" i="22" s="1"/>
  <c r="H46" i="21" s="1"/>
  <c r="I57" i="29" s="1"/>
  <c r="J76" i="84"/>
  <c r="J119" i="84" s="1"/>
  <c r="I114" i="84"/>
  <c r="I115" i="84"/>
  <c r="I116" i="84"/>
  <c r="I117" i="84"/>
  <c r="K35" i="22"/>
  <c r="K36" i="22" s="1"/>
  <c r="K38" i="22" s="1"/>
  <c r="L35" i="22" s="1"/>
  <c r="L36" i="22" s="1"/>
  <c r="C57" i="22"/>
  <c r="B14" i="69" s="1"/>
  <c r="K14" i="69" s="1"/>
  <c r="L43" i="22"/>
  <c r="H36" i="22"/>
  <c r="H58" i="22" s="1"/>
  <c r="G15" i="69" s="1"/>
  <c r="C9" i="68"/>
  <c r="C36" i="22"/>
  <c r="C58" i="22" s="1"/>
  <c r="B46" i="21" s="1"/>
  <c r="B88" i="22" s="1"/>
  <c r="D36" i="22"/>
  <c r="D58" i="22" s="1"/>
  <c r="C46" i="21" s="1"/>
  <c r="E93" i="29" s="1"/>
  <c r="F36" i="22"/>
  <c r="F58" i="22" s="1"/>
  <c r="E15" i="69" s="1"/>
  <c r="G36" i="22"/>
  <c r="G58" i="22" s="1"/>
  <c r="F46" i="21" s="1"/>
  <c r="G57" i="29" s="1"/>
  <c r="B47" i="21"/>
  <c r="C79" i="22"/>
  <c r="E47" i="21"/>
  <c r="F79" i="22"/>
  <c r="F47" i="21"/>
  <c r="G79" i="22"/>
  <c r="C47" i="21"/>
  <c r="D79" i="22"/>
  <c r="D47" i="21"/>
  <c r="E79" i="22"/>
  <c r="D15" i="69"/>
  <c r="K50" i="22"/>
  <c r="L47" i="22" s="1"/>
  <c r="L48" i="22" s="1"/>
  <c r="L50" i="22" s="1"/>
  <c r="M47" i="22" s="1"/>
  <c r="M48" i="22" s="1"/>
  <c r="M50" i="22" s="1"/>
  <c r="N47" i="22" s="1"/>
  <c r="N48" i="22" s="1"/>
  <c r="E25" i="68"/>
  <c r="I81" i="84"/>
  <c r="G14" i="21" s="1"/>
  <c r="E37" i="21"/>
  <c r="E40" i="21" s="1"/>
  <c r="E228" i="53"/>
  <c r="C118" i="53"/>
  <c r="D187" i="53" s="1"/>
  <c r="E35" i="53"/>
  <c r="E88" i="53" s="1"/>
  <c r="C37" i="55"/>
  <c r="C94" i="55" s="1"/>
  <c r="E223" i="53"/>
  <c r="E156" i="53"/>
  <c r="B146" i="55"/>
  <c r="D205" i="55" s="1"/>
  <c r="D259" i="55"/>
  <c r="K48" i="61"/>
  <c r="H25" i="21"/>
  <c r="K57" i="48"/>
  <c r="B49" i="55"/>
  <c r="B106" i="55" s="1"/>
  <c r="E98" i="81"/>
  <c r="E15" i="53"/>
  <c r="E68" i="53" s="1"/>
  <c r="B22" i="55"/>
  <c r="B79" i="55" s="1"/>
  <c r="C53" i="81"/>
  <c r="D167" i="53"/>
  <c r="D234" i="53"/>
  <c r="D146" i="53"/>
  <c r="D213" i="53"/>
  <c r="D43" i="55"/>
  <c r="D100" i="55" s="1"/>
  <c r="E38" i="53"/>
  <c r="E91" i="53" s="1"/>
  <c r="E56" i="53"/>
  <c r="E109" i="53" s="1"/>
  <c r="C59" i="55"/>
  <c r="C116" i="55" s="1"/>
  <c r="G35" i="29"/>
  <c r="C81" i="81"/>
  <c r="D164" i="53"/>
  <c r="D231" i="53"/>
  <c r="D148" i="53"/>
  <c r="D215" i="53"/>
  <c r="B122" i="55"/>
  <c r="D180" i="55" s="1"/>
  <c r="D235" i="55"/>
  <c r="C114" i="53"/>
  <c r="D47" i="81"/>
  <c r="C16" i="55"/>
  <c r="C73" i="55" s="1"/>
  <c r="E134" i="53"/>
  <c r="E201" i="53"/>
  <c r="D150" i="53"/>
  <c r="D217" i="53"/>
  <c r="C79" i="81"/>
  <c r="E200" i="53"/>
  <c r="E133" i="53"/>
  <c r="B147" i="55"/>
  <c r="D206" i="55" s="1"/>
  <c r="D260" i="55"/>
  <c r="B45" i="55"/>
  <c r="B102" i="55" s="1"/>
  <c r="E92" i="81"/>
  <c r="E9" i="53"/>
  <c r="E62" i="53" s="1"/>
  <c r="B24" i="55"/>
  <c r="B81" i="55" s="1"/>
  <c r="C55" i="81"/>
  <c r="F33" i="53"/>
  <c r="F86" i="53" s="1"/>
  <c r="D171" i="53"/>
  <c r="D238" i="53"/>
  <c r="D262" i="55"/>
  <c r="B149" i="55"/>
  <c r="D208" i="55" s="1"/>
  <c r="B167" i="55"/>
  <c r="D226" i="55" s="1"/>
  <c r="D277" i="55"/>
  <c r="B126" i="55"/>
  <c r="D184" i="55" s="1"/>
  <c r="D239" i="55"/>
  <c r="D140" i="53"/>
  <c r="D207" i="53"/>
  <c r="B47" i="55"/>
  <c r="B104" i="55" s="1"/>
  <c r="B121" i="55"/>
  <c r="D179" i="55" s="1"/>
  <c r="D234" i="55"/>
  <c r="E263" i="55"/>
  <c r="C150" i="55"/>
  <c r="E209" i="55" s="1"/>
  <c r="F161" i="53"/>
  <c r="F228" i="53"/>
  <c r="C84" i="81"/>
  <c r="B29" i="55"/>
  <c r="B86" i="55" s="1"/>
  <c r="C60" i="81"/>
  <c r="D103" i="81"/>
  <c r="D20" i="53"/>
  <c r="D73" i="53" s="1"/>
  <c r="E204" i="53"/>
  <c r="E137" i="53"/>
  <c r="B68" i="55"/>
  <c r="E198" i="53"/>
  <c r="E131" i="53"/>
  <c r="G11" i="21"/>
  <c r="J35" i="61"/>
  <c r="J59" i="48"/>
  <c r="B145" i="55"/>
  <c r="D204" i="55" s="1"/>
  <c r="D258" i="55"/>
  <c r="D111" i="81"/>
  <c r="D28" i="53"/>
  <c r="D81" i="53" s="1"/>
  <c r="E157" i="53"/>
  <c r="E224" i="53"/>
  <c r="D61" i="81"/>
  <c r="C30" i="55"/>
  <c r="C87" i="55" s="1"/>
  <c r="B166" i="55"/>
  <c r="D225" i="55" s="1"/>
  <c r="D276" i="55"/>
  <c r="F229" i="53"/>
  <c r="F162" i="53"/>
  <c r="B25" i="55"/>
  <c r="B82" i="55" s="1"/>
  <c r="C56" i="81"/>
  <c r="E155" i="53"/>
  <c r="E222" i="53"/>
  <c r="B125" i="55"/>
  <c r="D183" i="55" s="1"/>
  <c r="D238" i="55"/>
  <c r="F44" i="22"/>
  <c r="E96" i="81"/>
  <c r="E13" i="53"/>
  <c r="E66" i="53" s="1"/>
  <c r="D73" i="81"/>
  <c r="C83" i="81"/>
  <c r="D53" i="53"/>
  <c r="D106" i="53" s="1"/>
  <c r="E174" i="53" s="1"/>
  <c r="D45" i="53"/>
  <c r="D98" i="53" s="1"/>
  <c r="D46" i="81"/>
  <c r="C15" i="55"/>
  <c r="C72" i="55" s="1"/>
  <c r="E239" i="53"/>
  <c r="E175" i="53"/>
  <c r="K39" i="48"/>
  <c r="B23" i="55"/>
  <c r="B80" i="55" s="1"/>
  <c r="C54" i="81"/>
  <c r="M42" i="22"/>
  <c r="B46" i="55"/>
  <c r="B103" i="55" s="1"/>
  <c r="E95" i="81"/>
  <c r="E12" i="53"/>
  <c r="E65" i="53" s="1"/>
  <c r="C38" i="55"/>
  <c r="C95" i="55" s="1"/>
  <c r="E242" i="53"/>
  <c r="E178" i="53"/>
  <c r="D50" i="81"/>
  <c r="C19" i="55"/>
  <c r="C76" i="55" s="1"/>
  <c r="D72" i="81"/>
  <c r="C39" i="55"/>
  <c r="C96" i="55" s="1"/>
  <c r="D42" i="53"/>
  <c r="D95" i="53" s="1"/>
  <c r="C56" i="55"/>
  <c r="C113" i="55" s="1"/>
  <c r="D101" i="81"/>
  <c r="D18" i="53"/>
  <c r="D71" i="53" s="1"/>
  <c r="D41" i="55"/>
  <c r="D98" i="55" s="1"/>
  <c r="F40" i="53"/>
  <c r="F93" i="53" s="1"/>
  <c r="B28" i="55"/>
  <c r="B85" i="55" s="1"/>
  <c r="C59" i="81"/>
  <c r="D47" i="53"/>
  <c r="D100" i="53" s="1"/>
  <c r="D45" i="81"/>
  <c r="C14" i="55"/>
  <c r="C71" i="55" s="1"/>
  <c r="D141" i="53"/>
  <c r="D208" i="53"/>
  <c r="B44" i="55"/>
  <c r="B101" i="55" s="1"/>
  <c r="E99" i="81"/>
  <c r="E16" i="53"/>
  <c r="E69" i="53" s="1"/>
  <c r="L54" i="22"/>
  <c r="L55" i="22" s="1"/>
  <c r="E93" i="81"/>
  <c r="E10" i="53"/>
  <c r="E63" i="53" s="1"/>
  <c r="C76" i="81"/>
  <c r="D52" i="53"/>
  <c r="D105" i="53" s="1"/>
  <c r="E173" i="53" s="1"/>
  <c r="H34" i="29"/>
  <c r="D106" i="81"/>
  <c r="D23" i="53"/>
  <c r="D76" i="53" s="1"/>
  <c r="F227" i="53"/>
  <c r="F160" i="53"/>
  <c r="E225" i="53"/>
  <c r="E158" i="53"/>
  <c r="D49" i="81"/>
  <c r="C18" i="55"/>
  <c r="C75" i="55" s="1"/>
  <c r="D278" i="55"/>
  <c r="B168" i="55"/>
  <c r="D227" i="55" s="1"/>
  <c r="D149" i="53"/>
  <c r="D216" i="53"/>
  <c r="E45" i="83"/>
  <c r="E36" i="53"/>
  <c r="E89" i="53" s="1"/>
  <c r="F39" i="53"/>
  <c r="F92" i="53" s="1"/>
  <c r="B139" i="55"/>
  <c r="D197" i="55" s="1"/>
  <c r="D252" i="55"/>
  <c r="C57" i="55"/>
  <c r="C114" i="55" s="1"/>
  <c r="E37" i="53"/>
  <c r="E90" i="53" s="1"/>
  <c r="B51" i="55"/>
  <c r="B108" i="55" s="1"/>
  <c r="B127" i="55"/>
  <c r="D185" i="55" s="1"/>
  <c r="D240" i="55"/>
  <c r="F41" i="53"/>
  <c r="F94" i="53" s="1"/>
  <c r="D104" i="81"/>
  <c r="D21" i="53"/>
  <c r="D74" i="53" s="1"/>
  <c r="D44" i="53"/>
  <c r="D97" i="53" s="1"/>
  <c r="E202" i="53"/>
  <c r="E135" i="53"/>
  <c r="E34" i="53"/>
  <c r="E87" i="53" s="1"/>
  <c r="C119" i="53"/>
  <c r="D105" i="81"/>
  <c r="D22" i="53"/>
  <c r="D75" i="53" s="1"/>
  <c r="B27" i="55"/>
  <c r="B84" i="55" s="1"/>
  <c r="C58" i="81"/>
  <c r="K32" i="22"/>
  <c r="D166" i="53"/>
  <c r="D233" i="53"/>
  <c r="B124" i="55"/>
  <c r="D182" i="55" s="1"/>
  <c r="D237" i="55"/>
  <c r="E54" i="53"/>
  <c r="E107" i="53" s="1"/>
  <c r="E176" i="53"/>
  <c r="E240" i="53"/>
  <c r="E264" i="55"/>
  <c r="C151" i="55"/>
  <c r="E210" i="55" s="1"/>
  <c r="E132" i="53"/>
  <c r="E199" i="53"/>
  <c r="C82" i="81"/>
  <c r="E57" i="53"/>
  <c r="E110" i="53" s="1"/>
  <c r="B128" i="55"/>
  <c r="D186" i="55" s="1"/>
  <c r="D241" i="55"/>
  <c r="B148" i="55"/>
  <c r="D207" i="55" s="1"/>
  <c r="D261" i="55"/>
  <c r="D163" i="53"/>
  <c r="D230" i="53"/>
  <c r="B165" i="55"/>
  <c r="D224" i="55" s="1"/>
  <c r="D275" i="55"/>
  <c r="D257" i="55"/>
  <c r="B144" i="55"/>
  <c r="D203" i="55" s="1"/>
  <c r="B31" i="55"/>
  <c r="B88" i="55" s="1"/>
  <c r="C62" i="81"/>
  <c r="D139" i="53"/>
  <c r="D206" i="53"/>
  <c r="D48" i="53"/>
  <c r="D101" i="53" s="1"/>
  <c r="D107" i="81"/>
  <c r="D24" i="53"/>
  <c r="D77" i="53" s="1"/>
  <c r="D168" i="53"/>
  <c r="D235" i="53"/>
  <c r="B123" i="55"/>
  <c r="D181" i="55" s="1"/>
  <c r="D236" i="55"/>
  <c r="I43" i="22"/>
  <c r="C92" i="55"/>
  <c r="C77" i="81"/>
  <c r="D49" i="53"/>
  <c r="D102" i="53" s="1"/>
  <c r="D74" i="81"/>
  <c r="B20" i="55"/>
  <c r="B77" i="55" s="1"/>
  <c r="C51" i="81"/>
  <c r="B50" i="55"/>
  <c r="B107" i="55" s="1"/>
  <c r="D144" i="53"/>
  <c r="D211" i="53"/>
  <c r="E136" i="53"/>
  <c r="E203" i="53"/>
  <c r="C78" i="81"/>
  <c r="D46" i="53"/>
  <c r="D99" i="53" s="1"/>
  <c r="D67" i="81"/>
  <c r="D108" i="81"/>
  <c r="D25" i="53"/>
  <c r="D78" i="53" s="1"/>
  <c r="E265" i="55"/>
  <c r="C152" i="55"/>
  <c r="E211" i="55" s="1"/>
  <c r="E159" i="53"/>
  <c r="E226" i="53"/>
  <c r="E241" i="53"/>
  <c r="E177" i="53"/>
  <c r="D142" i="53"/>
  <c r="D209" i="53"/>
  <c r="E107" i="29"/>
  <c r="D88" i="22"/>
  <c r="F93" i="29"/>
  <c r="E57" i="29"/>
  <c r="F11" i="29"/>
  <c r="D165" i="53"/>
  <c r="D232" i="53"/>
  <c r="E97" i="81"/>
  <c r="E14" i="53"/>
  <c r="E67" i="53" s="1"/>
  <c r="D43" i="53"/>
  <c r="D96" i="53" s="1"/>
  <c r="D110" i="81"/>
  <c r="D27" i="53"/>
  <c r="D80" i="53" s="1"/>
  <c r="C13" i="55"/>
  <c r="C70" i="55" s="1"/>
  <c r="C116" i="53"/>
  <c r="C115" i="53"/>
  <c r="D143" i="53"/>
  <c r="D210" i="53"/>
  <c r="B48" i="55"/>
  <c r="B105" i="55" s="1"/>
  <c r="D112" i="81"/>
  <c r="D29" i="53"/>
  <c r="D82" i="53" s="1"/>
  <c r="E55" i="53"/>
  <c r="E108" i="53" s="1"/>
  <c r="D42" i="55"/>
  <c r="D99" i="55" s="1"/>
  <c r="E11" i="53"/>
  <c r="E64" i="53" s="1"/>
  <c r="B26" i="55"/>
  <c r="B83" i="55" s="1"/>
  <c r="C57" i="81"/>
  <c r="D70" i="81"/>
  <c r="E130" i="53"/>
  <c r="E197" i="53"/>
  <c r="C80" i="81"/>
  <c r="F221" i="53"/>
  <c r="F154" i="53"/>
  <c r="D50" i="53"/>
  <c r="D103" i="53" s="1"/>
  <c r="C40" i="55"/>
  <c r="C97" i="55" s="1"/>
  <c r="C58" i="55"/>
  <c r="C115" i="55" s="1"/>
  <c r="D48" i="81"/>
  <c r="C17" i="55"/>
  <c r="C74" i="55" s="1"/>
  <c r="D102" i="81"/>
  <c r="D19" i="53"/>
  <c r="D72" i="53" s="1"/>
  <c r="D71" i="81"/>
  <c r="D43" i="81"/>
  <c r="C12" i="55"/>
  <c r="C69" i="55" s="1"/>
  <c r="D169" i="53"/>
  <c r="D236" i="53"/>
  <c r="D145" i="53"/>
  <c r="D212" i="53"/>
  <c r="C85" i="81"/>
  <c r="D75" i="81"/>
  <c r="B52" i="55"/>
  <c r="B109" i="55" s="1"/>
  <c r="D42" i="81"/>
  <c r="C11" i="55"/>
  <c r="D35" i="55"/>
  <c r="B21" i="55"/>
  <c r="B78" i="55" s="1"/>
  <c r="C52" i="81"/>
  <c r="D170" i="53"/>
  <c r="D237" i="53"/>
  <c r="D68" i="81"/>
  <c r="G24" i="21"/>
  <c r="J51" i="61"/>
  <c r="I45" i="42"/>
  <c r="I47" i="42" s="1"/>
  <c r="C36" i="55"/>
  <c r="C93" i="55" s="1"/>
  <c r="D51" i="53"/>
  <c r="D104" i="53" s="1"/>
  <c r="E172" i="53" s="1"/>
  <c r="H113" i="81" l="1"/>
  <c r="I30" i="53" s="1"/>
  <c r="I83" i="53" s="1"/>
  <c r="H30" i="53"/>
  <c r="H83" i="53" s="1"/>
  <c r="H151" i="53"/>
  <c r="H218" i="53"/>
  <c r="J29" i="42"/>
  <c r="J21" i="42"/>
  <c r="J23" i="42" s="1"/>
  <c r="J27" i="42"/>
  <c r="J34" i="42" s="1"/>
  <c r="J28" i="42"/>
  <c r="J37" i="42"/>
  <c r="J43" i="42" s="1"/>
  <c r="H34" i="21" s="1"/>
  <c r="F49" i="23"/>
  <c r="F41" i="23"/>
  <c r="C10" i="23"/>
  <c r="D10" i="23" s="1"/>
  <c r="F10" i="23" s="1"/>
  <c r="E10" i="23" s="1"/>
  <c r="G10" i="23" s="1"/>
  <c r="F30" i="23"/>
  <c r="F40" i="23"/>
  <c r="F45" i="23"/>
  <c r="F18" i="23"/>
  <c r="F23" i="23"/>
  <c r="F38" i="23"/>
  <c r="F47" i="23"/>
  <c r="F27" i="23"/>
  <c r="F22" i="23"/>
  <c r="F42" i="23"/>
  <c r="F55" i="23"/>
  <c r="C35" i="69"/>
  <c r="D35" i="69" s="1"/>
  <c r="E35" i="69" s="1"/>
  <c r="F35" i="69" s="1"/>
  <c r="G35" i="69" s="1"/>
  <c r="H35" i="69" s="1"/>
  <c r="F43" i="23"/>
  <c r="F39" i="23"/>
  <c r="F19" i="23"/>
  <c r="F50" i="23"/>
  <c r="F28" i="23"/>
  <c r="F17" i="23"/>
  <c r="F31" i="23"/>
  <c r="F20" i="23"/>
  <c r="F56" i="23"/>
  <c r="F46" i="23"/>
  <c r="F29" i="23"/>
  <c r="F21" i="23"/>
  <c r="F44" i="23"/>
  <c r="F36" i="23"/>
  <c r="F35" i="23"/>
  <c r="F52" i="23"/>
  <c r="F51" i="23"/>
  <c r="F57" i="23"/>
  <c r="F24" i="23"/>
  <c r="F34" i="23"/>
  <c r="F33" i="23"/>
  <c r="F32" i="23"/>
  <c r="F37" i="23"/>
  <c r="F16" i="23"/>
  <c r="F26" i="23"/>
  <c r="F25" i="23"/>
  <c r="F48" i="23"/>
  <c r="F54" i="23"/>
  <c r="M43" i="22"/>
  <c r="J124" i="84"/>
  <c r="J120" i="84"/>
  <c r="J123" i="84"/>
  <c r="D131" i="29"/>
  <c r="D146" i="29"/>
  <c r="D161" i="29"/>
  <c r="D25" i="68"/>
  <c r="D176" i="29"/>
  <c r="I126" i="84"/>
  <c r="J122" i="84"/>
  <c r="J121" i="84"/>
  <c r="H140" i="29"/>
  <c r="H155" i="29"/>
  <c r="H170" i="29"/>
  <c r="H125" i="29"/>
  <c r="D107" i="29"/>
  <c r="K58" i="22"/>
  <c r="B89" i="22" s="1"/>
  <c r="E11" i="29"/>
  <c r="C88" i="22"/>
  <c r="H88" i="22"/>
  <c r="H15" i="69"/>
  <c r="D57" i="29"/>
  <c r="G46" i="21"/>
  <c r="H57" i="29" s="1"/>
  <c r="K37" i="22"/>
  <c r="K59" i="22" s="1"/>
  <c r="K57" i="22"/>
  <c r="H108" i="29"/>
  <c r="I94" i="29"/>
  <c r="I12" i="29"/>
  <c r="H58" i="29"/>
  <c r="I108" i="29"/>
  <c r="J94" i="29"/>
  <c r="J12" i="29"/>
  <c r="I58" i="29"/>
  <c r="F146" i="29"/>
  <c r="F161" i="29"/>
  <c r="F176" i="29"/>
  <c r="F131" i="29"/>
  <c r="G176" i="29"/>
  <c r="G161" i="29"/>
  <c r="G146" i="29"/>
  <c r="G131" i="29"/>
  <c r="J11" i="29"/>
  <c r="J93" i="29"/>
  <c r="I107" i="29"/>
  <c r="B15" i="69"/>
  <c r="D93" i="29"/>
  <c r="C37" i="22"/>
  <c r="D37" i="22" s="1"/>
  <c r="C38" i="22"/>
  <c r="C60" i="22" s="1"/>
  <c r="E46" i="21"/>
  <c r="G93" i="29" s="1"/>
  <c r="C107" i="29"/>
  <c r="D11" i="29"/>
  <c r="C57" i="29"/>
  <c r="B19" i="69"/>
  <c r="J114" i="84"/>
  <c r="J116" i="84"/>
  <c r="J115" i="84"/>
  <c r="J117" i="84"/>
  <c r="F15" i="69"/>
  <c r="C15" i="69"/>
  <c r="D108" i="29"/>
  <c r="D58" i="29"/>
  <c r="E12" i="29"/>
  <c r="E94" i="29"/>
  <c r="F108" i="29"/>
  <c r="F58" i="29"/>
  <c r="G94" i="29"/>
  <c r="G12" i="29"/>
  <c r="E58" i="29"/>
  <c r="F94" i="29"/>
  <c r="E108" i="29"/>
  <c r="F12" i="29"/>
  <c r="H12" i="29"/>
  <c r="G58" i="29"/>
  <c r="H94" i="29"/>
  <c r="G108" i="29"/>
  <c r="C58" i="29"/>
  <c r="C108" i="29"/>
  <c r="D94" i="29"/>
  <c r="D12" i="29"/>
  <c r="L49" i="22"/>
  <c r="M49" i="22" s="1"/>
  <c r="N49" i="22" s="1"/>
  <c r="H93" i="29"/>
  <c r="F88" i="22"/>
  <c r="G107" i="29"/>
  <c r="H11" i="29"/>
  <c r="N50" i="22"/>
  <c r="O47" i="22" s="1"/>
  <c r="O48" i="22" s="1"/>
  <c r="L38" i="22"/>
  <c r="M35" i="22" s="1"/>
  <c r="G25" i="68"/>
  <c r="F25" i="68"/>
  <c r="J81" i="84"/>
  <c r="H14" i="21" s="1"/>
  <c r="D250" i="53"/>
  <c r="D37" i="55"/>
  <c r="D94" i="55" s="1"/>
  <c r="C146" i="55"/>
  <c r="E205" i="55" s="1"/>
  <c r="E259" i="55"/>
  <c r="F35" i="53"/>
  <c r="F88" i="53" s="1"/>
  <c r="D116" i="53"/>
  <c r="E184" i="53" s="1"/>
  <c r="D254" i="53"/>
  <c r="F223" i="53"/>
  <c r="F156" i="53"/>
  <c r="E35" i="55"/>
  <c r="B161" i="55"/>
  <c r="D220" i="55" s="1"/>
  <c r="D274" i="55"/>
  <c r="E234" i="55"/>
  <c r="C121" i="55"/>
  <c r="E179" i="55" s="1"/>
  <c r="C126" i="55"/>
  <c r="E184" i="55" s="1"/>
  <c r="E239" i="55"/>
  <c r="E262" i="55"/>
  <c r="C149" i="55"/>
  <c r="E208" i="55" s="1"/>
  <c r="D119" i="53"/>
  <c r="B135" i="55"/>
  <c r="D193" i="55" s="1"/>
  <c r="D248" i="55"/>
  <c r="E42" i="55"/>
  <c r="E99" i="55" s="1"/>
  <c r="E112" i="81"/>
  <c r="E29" i="53"/>
  <c r="E82" i="53" s="1"/>
  <c r="D184" i="53"/>
  <c r="D247" i="53"/>
  <c r="E110" i="81"/>
  <c r="E27" i="53"/>
  <c r="E80" i="53" s="1"/>
  <c r="F202" i="53"/>
  <c r="F135" i="53"/>
  <c r="D78" i="81"/>
  <c r="B159" i="55"/>
  <c r="D218" i="55" s="1"/>
  <c r="D272" i="55"/>
  <c r="B129" i="55"/>
  <c r="D187" i="55" s="1"/>
  <c r="D242" i="55"/>
  <c r="E49" i="53"/>
  <c r="E102" i="53" s="1"/>
  <c r="E145" i="53"/>
  <c r="E212" i="53"/>
  <c r="E169" i="53"/>
  <c r="E236" i="53"/>
  <c r="D82" i="81"/>
  <c r="L29" i="22"/>
  <c r="K60" i="22"/>
  <c r="D188" i="53"/>
  <c r="D251" i="53"/>
  <c r="G41" i="53"/>
  <c r="G94" i="53" s="1"/>
  <c r="B160" i="55"/>
  <c r="D219" i="55" s="1"/>
  <c r="D273" i="55"/>
  <c r="D57" i="55"/>
  <c r="D114" i="55" s="1"/>
  <c r="G39" i="53"/>
  <c r="G92" i="53" s="1"/>
  <c r="E49" i="81"/>
  <c r="D18" i="55"/>
  <c r="D75" i="55" s="1"/>
  <c r="E106" i="81"/>
  <c r="E23" i="53"/>
  <c r="E76" i="53" s="1"/>
  <c r="D76" i="81"/>
  <c r="F93" i="81"/>
  <c r="F10" i="53"/>
  <c r="F63" i="53" s="1"/>
  <c r="F99" i="81"/>
  <c r="F16" i="53"/>
  <c r="F69" i="53" s="1"/>
  <c r="E47" i="53"/>
  <c r="E100" i="53" s="1"/>
  <c r="G228" i="53"/>
  <c r="G161" i="53"/>
  <c r="E101" i="81"/>
  <c r="E18" i="53"/>
  <c r="E71" i="53" s="1"/>
  <c r="B61" i="55"/>
  <c r="E42" i="53"/>
  <c r="E95" i="53" s="1"/>
  <c r="E72" i="81"/>
  <c r="D38" i="55"/>
  <c r="D95" i="55" s="1"/>
  <c r="B155" i="55"/>
  <c r="D214" i="55" s="1"/>
  <c r="D268" i="55"/>
  <c r="D54" i="81"/>
  <c r="C23" i="55"/>
  <c r="C80" i="55" s="1"/>
  <c r="E45" i="53"/>
  <c r="E98" i="53" s="1"/>
  <c r="D83" i="81"/>
  <c r="F134" i="53"/>
  <c r="F201" i="53"/>
  <c r="D56" i="81"/>
  <c r="C25" i="55"/>
  <c r="C82" i="55" s="1"/>
  <c r="B120" i="55"/>
  <c r="D233" i="55"/>
  <c r="D60" i="81"/>
  <c r="C29" i="55"/>
  <c r="C86" i="55" s="1"/>
  <c r="D84" i="81"/>
  <c r="C47" i="55"/>
  <c r="C104" i="55" s="1"/>
  <c r="G33" i="53"/>
  <c r="G86" i="53" s="1"/>
  <c r="F92" i="81"/>
  <c r="F9" i="53"/>
  <c r="F62" i="53" s="1"/>
  <c r="C45" i="55"/>
  <c r="C102" i="55" s="1"/>
  <c r="D79" i="81"/>
  <c r="F56" i="53"/>
  <c r="F109" i="53" s="1"/>
  <c r="E43" i="55"/>
  <c r="E100" i="55" s="1"/>
  <c r="B131" i="55"/>
  <c r="D189" i="55" s="1"/>
  <c r="D244" i="55"/>
  <c r="B158" i="55"/>
  <c r="D217" i="55" s="1"/>
  <c r="D271" i="55"/>
  <c r="D36" i="55"/>
  <c r="D93" i="55" s="1"/>
  <c r="D52" i="81"/>
  <c r="C21" i="55"/>
  <c r="C78" i="55" s="1"/>
  <c r="C68" i="55"/>
  <c r="E75" i="81"/>
  <c r="E43" i="81"/>
  <c r="D12" i="55"/>
  <c r="D69" i="55" s="1"/>
  <c r="D17" i="55"/>
  <c r="D74" i="55" s="1"/>
  <c r="E48" i="81"/>
  <c r="D40" i="55"/>
  <c r="D97" i="55" s="1"/>
  <c r="F199" i="53"/>
  <c r="F132" i="53"/>
  <c r="F240" i="53"/>
  <c r="F176" i="53"/>
  <c r="C48" i="55"/>
  <c r="C105" i="55" s="1"/>
  <c r="C122" i="55"/>
  <c r="E180" i="55" s="1"/>
  <c r="E235" i="55"/>
  <c r="E231" i="53"/>
  <c r="E164" i="53"/>
  <c r="F97" i="81"/>
  <c r="F14" i="53"/>
  <c r="F67" i="53" s="1"/>
  <c r="E67" i="81"/>
  <c r="E257" i="55"/>
  <c r="C144" i="55"/>
  <c r="E203" i="55" s="1"/>
  <c r="E107" i="81"/>
  <c r="E24" i="53"/>
  <c r="E77" i="53" s="1"/>
  <c r="E48" i="53"/>
  <c r="E101" i="53" s="1"/>
  <c r="D62" i="81"/>
  <c r="C31" i="55"/>
  <c r="C88" i="55" s="1"/>
  <c r="D58" i="81"/>
  <c r="C27" i="55"/>
  <c r="C84" i="55" s="1"/>
  <c r="F222" i="53"/>
  <c r="F155" i="53"/>
  <c r="E165" i="53"/>
  <c r="E232" i="53"/>
  <c r="E209" i="53"/>
  <c r="E142" i="53"/>
  <c r="F225" i="53"/>
  <c r="F158" i="53"/>
  <c r="F157" i="53"/>
  <c r="F224" i="53"/>
  <c r="E52" i="53"/>
  <c r="E105" i="53" s="1"/>
  <c r="F173" i="53" s="1"/>
  <c r="L56" i="22"/>
  <c r="M53" i="22" s="1"/>
  <c r="C44" i="55"/>
  <c r="C101" i="55" s="1"/>
  <c r="C123" i="55"/>
  <c r="E181" i="55" s="1"/>
  <c r="E236" i="55"/>
  <c r="G40" i="53"/>
  <c r="G93" i="53" s="1"/>
  <c r="F263" i="55"/>
  <c r="D150" i="55"/>
  <c r="F209" i="55" s="1"/>
  <c r="E275" i="55"/>
  <c r="C165" i="55"/>
  <c r="E224" i="55" s="1"/>
  <c r="E261" i="55"/>
  <c r="C148" i="55"/>
  <c r="E207" i="55" s="1"/>
  <c r="E241" i="55"/>
  <c r="C128" i="55"/>
  <c r="E186" i="55" s="1"/>
  <c r="F200" i="53"/>
  <c r="F133" i="53"/>
  <c r="B132" i="55"/>
  <c r="D190" i="55" s="1"/>
  <c r="D245" i="55"/>
  <c r="E237" i="55"/>
  <c r="C124" i="55"/>
  <c r="E182" i="55" s="1"/>
  <c r="F96" i="81"/>
  <c r="F13" i="53"/>
  <c r="F66" i="53" s="1"/>
  <c r="B134" i="55"/>
  <c r="D192" i="55" s="1"/>
  <c r="D247" i="55"/>
  <c r="B33" i="55"/>
  <c r="B138" i="55"/>
  <c r="D196" i="55" s="1"/>
  <c r="D251" i="55"/>
  <c r="B156" i="55"/>
  <c r="D215" i="55" s="1"/>
  <c r="D269" i="55"/>
  <c r="D55" i="81"/>
  <c r="C24" i="55"/>
  <c r="C81" i="55" s="1"/>
  <c r="B154" i="55"/>
  <c r="D213" i="55" s="1"/>
  <c r="D267" i="55"/>
  <c r="E238" i="55"/>
  <c r="C125" i="55"/>
  <c r="E183" i="55" s="1"/>
  <c r="E278" i="55"/>
  <c r="C168" i="55"/>
  <c r="E227" i="55" s="1"/>
  <c r="F226" i="53"/>
  <c r="F159" i="53"/>
  <c r="F203" i="53"/>
  <c r="F136" i="53"/>
  <c r="B130" i="55"/>
  <c r="D188" i="55" s="1"/>
  <c r="D243" i="55"/>
  <c r="D11" i="55"/>
  <c r="E42" i="81"/>
  <c r="E207" i="53"/>
  <c r="E140" i="53"/>
  <c r="D58" i="55"/>
  <c r="D115" i="55" s="1"/>
  <c r="E171" i="53"/>
  <c r="E238" i="53"/>
  <c r="D80" i="81"/>
  <c r="D118" i="53"/>
  <c r="D114" i="53"/>
  <c r="E253" i="53" s="1"/>
  <c r="F11" i="53"/>
  <c r="F64" i="53" s="1"/>
  <c r="F55" i="53"/>
  <c r="F108" i="53" s="1"/>
  <c r="B157" i="55"/>
  <c r="D216" i="55" s="1"/>
  <c r="D270" i="55"/>
  <c r="D13" i="55"/>
  <c r="D70" i="55" s="1"/>
  <c r="E43" i="53"/>
  <c r="E96" i="53" s="1"/>
  <c r="E213" i="53"/>
  <c r="E146" i="53"/>
  <c r="E167" i="53"/>
  <c r="E234" i="53"/>
  <c r="E74" i="81"/>
  <c r="D77" i="81"/>
  <c r="B140" i="55"/>
  <c r="D198" i="55" s="1"/>
  <c r="D253" i="55"/>
  <c r="F242" i="53"/>
  <c r="F178" i="53"/>
  <c r="F175" i="53"/>
  <c r="F239" i="53"/>
  <c r="B136" i="55"/>
  <c r="D194" i="55" s="1"/>
  <c r="D249" i="55"/>
  <c r="E143" i="53"/>
  <c r="E210" i="53"/>
  <c r="F34" i="53"/>
  <c r="F87" i="53" s="1"/>
  <c r="E44" i="53"/>
  <c r="E97" i="53" s="1"/>
  <c r="E104" i="81"/>
  <c r="E21" i="53"/>
  <c r="E74" i="53" s="1"/>
  <c r="F37" i="53"/>
  <c r="F90" i="53" s="1"/>
  <c r="F45" i="83"/>
  <c r="F36" i="53"/>
  <c r="F89" i="53" s="1"/>
  <c r="B153" i="55"/>
  <c r="D212" i="55" s="1"/>
  <c r="D266" i="55"/>
  <c r="E45" i="81"/>
  <c r="D14" i="55"/>
  <c r="D71" i="55" s="1"/>
  <c r="D59" i="81"/>
  <c r="C28" i="55"/>
  <c r="C85" i="55" s="1"/>
  <c r="E41" i="55"/>
  <c r="E98" i="55" s="1"/>
  <c r="D56" i="55"/>
  <c r="D113" i="55" s="1"/>
  <c r="D39" i="55"/>
  <c r="D96" i="55" s="1"/>
  <c r="E50" i="81"/>
  <c r="D19" i="55"/>
  <c r="D76" i="55" s="1"/>
  <c r="F95" i="81"/>
  <c r="F12" i="53"/>
  <c r="F65" i="53" s="1"/>
  <c r="H11" i="21"/>
  <c r="K35" i="61"/>
  <c r="K59" i="48"/>
  <c r="E46" i="81"/>
  <c r="D15" i="55"/>
  <c r="D72" i="55" s="1"/>
  <c r="E53" i="53"/>
  <c r="E106" i="53" s="1"/>
  <c r="F174" i="53" s="1"/>
  <c r="E73" i="81"/>
  <c r="C139" i="55"/>
  <c r="E197" i="55" s="1"/>
  <c r="E252" i="55"/>
  <c r="E216" i="53"/>
  <c r="E149" i="53"/>
  <c r="H35" i="29"/>
  <c r="E141" i="53"/>
  <c r="E208" i="53"/>
  <c r="B133" i="55"/>
  <c r="D191" i="55" s="1"/>
  <c r="D246" i="55"/>
  <c r="E47" i="81"/>
  <c r="D16" i="55"/>
  <c r="D73" i="55" s="1"/>
  <c r="D81" i="81"/>
  <c r="D59" i="55"/>
  <c r="D116" i="55" s="1"/>
  <c r="F38" i="53"/>
  <c r="F91" i="53" s="1"/>
  <c r="F98" i="81"/>
  <c r="F15" i="53"/>
  <c r="F68" i="53" s="1"/>
  <c r="E258" i="55"/>
  <c r="C145" i="55"/>
  <c r="E204" i="55" s="1"/>
  <c r="E51" i="53"/>
  <c r="E104" i="53" s="1"/>
  <c r="F172" i="53" s="1"/>
  <c r="E68" i="81"/>
  <c r="D92" i="55"/>
  <c r="C52" i="55"/>
  <c r="C109" i="55" s="1"/>
  <c r="D85" i="81"/>
  <c r="E71" i="81"/>
  <c r="E102" i="81"/>
  <c r="E19" i="53"/>
  <c r="E72" i="53" s="1"/>
  <c r="E277" i="55"/>
  <c r="C167" i="55"/>
  <c r="E226" i="55" s="1"/>
  <c r="E50" i="53"/>
  <c r="E103" i="53" s="1"/>
  <c r="D115" i="53"/>
  <c r="E70" i="81"/>
  <c r="D57" i="81"/>
  <c r="C26" i="55"/>
  <c r="C83" i="55" s="1"/>
  <c r="F264" i="55"/>
  <c r="D151" i="55"/>
  <c r="F210" i="55" s="1"/>
  <c r="E150" i="53"/>
  <c r="E217" i="53"/>
  <c r="D183" i="53"/>
  <c r="D246" i="53"/>
  <c r="E148" i="53"/>
  <c r="E215" i="53"/>
  <c r="E108" i="81"/>
  <c r="E25" i="53"/>
  <c r="E78" i="53" s="1"/>
  <c r="E46" i="53"/>
  <c r="E99" i="53" s="1"/>
  <c r="C50" i="55"/>
  <c r="C107" i="55" s="1"/>
  <c r="D51" i="81"/>
  <c r="C20" i="55"/>
  <c r="C77" i="55" s="1"/>
  <c r="E237" i="53"/>
  <c r="E170" i="53"/>
  <c r="F57" i="53"/>
  <c r="F110" i="53" s="1"/>
  <c r="F54" i="53"/>
  <c r="F107" i="53" s="1"/>
  <c r="E105" i="81"/>
  <c r="E22" i="53"/>
  <c r="E75" i="53" s="1"/>
  <c r="G229" i="53"/>
  <c r="G162" i="53"/>
  <c r="C51" i="55"/>
  <c r="C108" i="55" s="1"/>
  <c r="E276" i="55"/>
  <c r="C166" i="55"/>
  <c r="E225" i="55" s="1"/>
  <c r="G160" i="53"/>
  <c r="G227" i="53"/>
  <c r="C127" i="55"/>
  <c r="E185" i="55" s="1"/>
  <c r="E240" i="55"/>
  <c r="E211" i="53"/>
  <c r="E144" i="53"/>
  <c r="F198" i="53"/>
  <c r="F131" i="53"/>
  <c r="F204" i="53"/>
  <c r="F137" i="53"/>
  <c r="E235" i="53"/>
  <c r="E168" i="53"/>
  <c r="B137" i="55"/>
  <c r="D195" i="55" s="1"/>
  <c r="D250" i="55"/>
  <c r="E139" i="53"/>
  <c r="E206" i="53"/>
  <c r="D253" i="53"/>
  <c r="E163" i="53"/>
  <c r="E230" i="53"/>
  <c r="E260" i="55"/>
  <c r="C147" i="55"/>
  <c r="E206" i="55" s="1"/>
  <c r="C46" i="55"/>
  <c r="C103" i="55" s="1"/>
  <c r="M44" i="22"/>
  <c r="E233" i="53"/>
  <c r="E166" i="53"/>
  <c r="G41" i="22"/>
  <c r="E61" i="81"/>
  <c r="D30" i="55"/>
  <c r="D87" i="55" s="1"/>
  <c r="E111" i="81"/>
  <c r="E28" i="53"/>
  <c r="E81" i="53" s="1"/>
  <c r="E103" i="81"/>
  <c r="E20" i="53"/>
  <c r="E73" i="53" s="1"/>
  <c r="G221" i="53"/>
  <c r="G154" i="53"/>
  <c r="F130" i="53"/>
  <c r="F197" i="53"/>
  <c r="D182" i="53"/>
  <c r="D245" i="53"/>
  <c r="F177" i="53"/>
  <c r="F241" i="53"/>
  <c r="F265" i="55"/>
  <c r="D152" i="55"/>
  <c r="F211" i="55" s="1"/>
  <c r="D53" i="81"/>
  <c r="C22" i="55"/>
  <c r="C79" i="55" s="1"/>
  <c r="C49" i="55"/>
  <c r="C106" i="55" s="1"/>
  <c r="E247" i="53" l="1"/>
  <c r="K51" i="61"/>
  <c r="J45" i="42"/>
  <c r="J47" i="42" s="1"/>
  <c r="H24" i="21"/>
  <c r="H10" i="21"/>
  <c r="K38" i="61"/>
  <c r="I218" i="53"/>
  <c r="I151" i="53"/>
  <c r="J218" i="53"/>
  <c r="J151" i="53"/>
  <c r="J126" i="84"/>
  <c r="B16" i="69"/>
  <c r="K16" i="69" s="1"/>
  <c r="K15" i="69"/>
  <c r="I140" i="29"/>
  <c r="I155" i="29"/>
  <c r="I170" i="29"/>
  <c r="I125" i="29"/>
  <c r="C19" i="69"/>
  <c r="D19" i="69" s="1"/>
  <c r="E19" i="69" s="1"/>
  <c r="F19" i="69" s="1"/>
  <c r="G19" i="69" s="1"/>
  <c r="H19" i="69" s="1"/>
  <c r="K19" i="69"/>
  <c r="O49" i="22"/>
  <c r="D35" i="22"/>
  <c r="D57" i="22" s="1"/>
  <c r="C14" i="69" s="1"/>
  <c r="C16" i="69" s="1"/>
  <c r="G88" i="22"/>
  <c r="I11" i="29"/>
  <c r="I93" i="29"/>
  <c r="H107" i="29"/>
  <c r="C59" i="22"/>
  <c r="L37" i="22"/>
  <c r="F107" i="29"/>
  <c r="G11" i="29"/>
  <c r="F57" i="29"/>
  <c r="E88" i="22"/>
  <c r="O50" i="22"/>
  <c r="P47" i="22" s="1"/>
  <c r="P48" i="22" s="1"/>
  <c r="P50" i="22" s="1"/>
  <c r="Q47" i="22" s="1"/>
  <c r="Q48" i="22" s="1"/>
  <c r="Q50" i="22" s="1"/>
  <c r="E37" i="22"/>
  <c r="D59" i="22"/>
  <c r="G37" i="21"/>
  <c r="G40" i="21" s="1"/>
  <c r="D191" i="53"/>
  <c r="G35" i="53"/>
  <c r="G88" i="53" s="1"/>
  <c r="E37" i="55"/>
  <c r="E94" i="55" s="1"/>
  <c r="G223" i="53"/>
  <c r="G156" i="53"/>
  <c r="F259" i="55"/>
  <c r="D146" i="55"/>
  <c r="F205" i="55" s="1"/>
  <c r="D260" i="53"/>
  <c r="D262" i="53" s="1"/>
  <c r="E53" i="81"/>
  <c r="D22" i="55"/>
  <c r="D79" i="55" s="1"/>
  <c r="F208" i="53"/>
  <c r="F141" i="53"/>
  <c r="D139" i="55"/>
  <c r="F197" i="55" s="1"/>
  <c r="F252" i="55"/>
  <c r="N41" i="22"/>
  <c r="D51" i="55"/>
  <c r="D108" i="55" s="1"/>
  <c r="F143" i="53"/>
  <c r="F210" i="53"/>
  <c r="G175" i="53"/>
  <c r="G239" i="53"/>
  <c r="E51" i="81"/>
  <c r="D20" i="55"/>
  <c r="D77" i="55" s="1"/>
  <c r="F46" i="53"/>
  <c r="F99" i="53" s="1"/>
  <c r="F70" i="81"/>
  <c r="E85" i="81"/>
  <c r="F257" i="55"/>
  <c r="D144" i="55"/>
  <c r="F203" i="55" s="1"/>
  <c r="G159" i="53"/>
  <c r="G226" i="53"/>
  <c r="F46" i="81"/>
  <c r="E15" i="55"/>
  <c r="E72" i="55" s="1"/>
  <c r="G200" i="53"/>
  <c r="G133" i="53"/>
  <c r="F241" i="55"/>
  <c r="D128" i="55"/>
  <c r="F186" i="55" s="1"/>
  <c r="F275" i="55"/>
  <c r="D165" i="55"/>
  <c r="F224" i="55" s="1"/>
  <c r="E250" i="55"/>
  <c r="C137" i="55"/>
  <c r="E195" i="55" s="1"/>
  <c r="G225" i="53"/>
  <c r="G158" i="53"/>
  <c r="F165" i="53"/>
  <c r="F232" i="53"/>
  <c r="E77" i="81"/>
  <c r="F235" i="55"/>
  <c r="D122" i="55"/>
  <c r="F180" i="55" s="1"/>
  <c r="G199" i="53"/>
  <c r="G132" i="53"/>
  <c r="E80" i="81"/>
  <c r="F277" i="55"/>
  <c r="D167" i="55"/>
  <c r="F226" i="55" s="1"/>
  <c r="F42" i="81"/>
  <c r="E11" i="55"/>
  <c r="G201" i="53"/>
  <c r="G134" i="53"/>
  <c r="E249" i="55"/>
  <c r="C136" i="55"/>
  <c r="E194" i="55" s="1"/>
  <c r="E62" i="81"/>
  <c r="D31" i="55"/>
  <c r="D88" i="55" s="1"/>
  <c r="F107" i="81"/>
  <c r="F24" i="53"/>
  <c r="F77" i="53" s="1"/>
  <c r="F67" i="81"/>
  <c r="D48" i="55"/>
  <c r="D105" i="55" s="1"/>
  <c r="F262" i="55"/>
  <c r="D149" i="55"/>
  <c r="F208" i="55" s="1"/>
  <c r="F234" i="55"/>
  <c r="D121" i="55"/>
  <c r="F179" i="55" s="1"/>
  <c r="C33" i="55"/>
  <c r="F258" i="55"/>
  <c r="D145" i="55"/>
  <c r="F204" i="55" s="1"/>
  <c r="G265" i="55"/>
  <c r="E152" i="55"/>
  <c r="G211" i="55" s="1"/>
  <c r="D45" i="55"/>
  <c r="D102" i="55" s="1"/>
  <c r="H33" i="53"/>
  <c r="H86" i="53" s="1"/>
  <c r="I33" i="53"/>
  <c r="I86" i="53" s="1"/>
  <c r="E60" i="81"/>
  <c r="D29" i="55"/>
  <c r="D86" i="55" s="1"/>
  <c r="D178" i="55"/>
  <c r="D284" i="55"/>
  <c r="D285" i="55"/>
  <c r="F45" i="53"/>
  <c r="F98" i="53" s="1"/>
  <c r="F139" i="53"/>
  <c r="F206" i="53"/>
  <c r="F235" i="53"/>
  <c r="F168" i="53"/>
  <c r="G198" i="53"/>
  <c r="G131" i="53"/>
  <c r="F211" i="53"/>
  <c r="F144" i="53"/>
  <c r="H227" i="53"/>
  <c r="H160" i="53"/>
  <c r="F217" i="53"/>
  <c r="F150" i="53"/>
  <c r="E271" i="55"/>
  <c r="C158" i="55"/>
  <c r="E217" i="55" s="1"/>
  <c r="E119" i="53"/>
  <c r="E118" i="53"/>
  <c r="F103" i="81"/>
  <c r="F20" i="53"/>
  <c r="F73" i="53" s="1"/>
  <c r="C11" i="23"/>
  <c r="F61" i="81"/>
  <c r="E30" i="55"/>
  <c r="E87" i="55" s="1"/>
  <c r="G44" i="22"/>
  <c r="E268" i="55"/>
  <c r="C155" i="55"/>
  <c r="E214" i="55" s="1"/>
  <c r="F105" i="81"/>
  <c r="F22" i="53"/>
  <c r="F75" i="53" s="1"/>
  <c r="G54" i="53"/>
  <c r="G107" i="53" s="1"/>
  <c r="E272" i="55"/>
  <c r="C159" i="55"/>
  <c r="E218" i="55" s="1"/>
  <c r="F213" i="53"/>
  <c r="F146" i="53"/>
  <c r="C135" i="55"/>
  <c r="E193" i="55" s="1"/>
  <c r="E248" i="55"/>
  <c r="E183" i="53"/>
  <c r="E246" i="53"/>
  <c r="F71" i="81"/>
  <c r="E274" i="55"/>
  <c r="C161" i="55"/>
  <c r="E220" i="55" s="1"/>
  <c r="F68" i="81"/>
  <c r="G38" i="53"/>
  <c r="G91" i="53" s="1"/>
  <c r="E81" i="81"/>
  <c r="G95" i="81"/>
  <c r="G12" i="53"/>
  <c r="G65" i="53" s="1"/>
  <c r="F50" i="81"/>
  <c r="E19" i="55"/>
  <c r="E76" i="55" s="1"/>
  <c r="E56" i="55"/>
  <c r="E113" i="55" s="1"/>
  <c r="E59" i="81"/>
  <c r="D28" i="55"/>
  <c r="D85" i="55" s="1"/>
  <c r="G37" i="53"/>
  <c r="G90" i="53" s="1"/>
  <c r="F44" i="53"/>
  <c r="F97" i="53" s="1"/>
  <c r="M36" i="22"/>
  <c r="M38" i="22" s="1"/>
  <c r="E13" i="55"/>
  <c r="E70" i="55" s="1"/>
  <c r="G11" i="53"/>
  <c r="G64" i="53" s="1"/>
  <c r="E58" i="55"/>
  <c r="E115" i="55" s="1"/>
  <c r="D68" i="55"/>
  <c r="B65" i="55"/>
  <c r="D200" i="55" s="1"/>
  <c r="B10" i="55"/>
  <c r="G96" i="81"/>
  <c r="G13" i="53"/>
  <c r="G66" i="53" s="1"/>
  <c r="I40" i="53"/>
  <c r="I93" i="53" s="1"/>
  <c r="H40" i="53"/>
  <c r="H93" i="53" s="1"/>
  <c r="E266" i="55"/>
  <c r="C153" i="55"/>
  <c r="E212" i="55" s="1"/>
  <c r="F52" i="53"/>
  <c r="F105" i="53" s="1"/>
  <c r="G173" i="53" s="1"/>
  <c r="E58" i="81"/>
  <c r="D27" i="55"/>
  <c r="D84" i="55" s="1"/>
  <c r="F169" i="53"/>
  <c r="F236" i="53"/>
  <c r="G202" i="53"/>
  <c r="G135" i="53"/>
  <c r="E40" i="55"/>
  <c r="E97" i="55" s="1"/>
  <c r="F43" i="81"/>
  <c r="E12" i="55"/>
  <c r="E69" i="55" s="1"/>
  <c r="E233" i="55"/>
  <c r="C120" i="55"/>
  <c r="E36" i="55"/>
  <c r="E93" i="55" s="1"/>
  <c r="F43" i="55"/>
  <c r="F100" i="55" s="1"/>
  <c r="G197" i="53"/>
  <c r="G130" i="53"/>
  <c r="E269" i="55"/>
  <c r="C156" i="55"/>
  <c r="E215" i="55" s="1"/>
  <c r="C134" i="55"/>
  <c r="E192" i="55" s="1"/>
  <c r="E247" i="55"/>
  <c r="E245" i="55"/>
  <c r="C132" i="55"/>
  <c r="E190" i="55" s="1"/>
  <c r="F260" i="55"/>
  <c r="D147" i="55"/>
  <c r="F206" i="55" s="1"/>
  <c r="F230" i="53"/>
  <c r="F163" i="53"/>
  <c r="F101" i="81"/>
  <c r="F18" i="53"/>
  <c r="F71" i="53" s="1"/>
  <c r="F47" i="53"/>
  <c r="F100" i="53" s="1"/>
  <c r="G93" i="81"/>
  <c r="G10" i="53"/>
  <c r="G63" i="53" s="1"/>
  <c r="F106" i="81"/>
  <c r="F23" i="53"/>
  <c r="F76" i="53" s="1"/>
  <c r="H39" i="53"/>
  <c r="H92" i="53" s="1"/>
  <c r="I39" i="53"/>
  <c r="I92" i="53" s="1"/>
  <c r="L30" i="22"/>
  <c r="L32" i="22" s="1"/>
  <c r="L57" i="22"/>
  <c r="C61" i="55"/>
  <c r="F148" i="53"/>
  <c r="F215" i="53"/>
  <c r="F112" i="81"/>
  <c r="F29" i="53"/>
  <c r="F82" i="53" s="1"/>
  <c r="E188" i="53"/>
  <c r="E251" i="53"/>
  <c r="F35" i="55"/>
  <c r="D49" i="55"/>
  <c r="D106" i="55" s="1"/>
  <c r="E116" i="53"/>
  <c r="E115" i="53"/>
  <c r="F216" i="53"/>
  <c r="F149" i="53"/>
  <c r="D46" i="55"/>
  <c r="D103" i="55" s="1"/>
  <c r="G242" i="53"/>
  <c r="G178" i="53"/>
  <c r="D50" i="55"/>
  <c r="D107" i="55" s="1"/>
  <c r="F108" i="81"/>
  <c r="F25" i="53"/>
  <c r="F78" i="53" s="1"/>
  <c r="E57" i="81"/>
  <c r="D26" i="55"/>
  <c r="D83" i="55" s="1"/>
  <c r="F238" i="53"/>
  <c r="F171" i="53"/>
  <c r="F207" i="53"/>
  <c r="F140" i="53"/>
  <c r="D52" i="55"/>
  <c r="D109" i="55" s="1"/>
  <c r="G203" i="53"/>
  <c r="G136" i="53"/>
  <c r="F278" i="55"/>
  <c r="D168" i="55"/>
  <c r="F227" i="55" s="1"/>
  <c r="F238" i="55"/>
  <c r="D125" i="55"/>
  <c r="F183" i="55" s="1"/>
  <c r="F53" i="53"/>
  <c r="F106" i="53" s="1"/>
  <c r="G174" i="53" s="1"/>
  <c r="F261" i="55"/>
  <c r="D148" i="55"/>
  <c r="F207" i="55" s="1"/>
  <c r="G263" i="55"/>
  <c r="E150" i="55"/>
  <c r="G209" i="55" s="1"/>
  <c r="F236" i="55"/>
  <c r="D123" i="55"/>
  <c r="F181" i="55" s="1"/>
  <c r="G224" i="53"/>
  <c r="G157" i="53"/>
  <c r="F209" i="53"/>
  <c r="F142" i="53"/>
  <c r="G155" i="53"/>
  <c r="G222" i="53"/>
  <c r="F231" i="53"/>
  <c r="F164" i="53"/>
  <c r="G240" i="53"/>
  <c r="G176" i="53"/>
  <c r="E182" i="53"/>
  <c r="E245" i="53"/>
  <c r="E246" i="55"/>
  <c r="C133" i="55"/>
  <c r="E191" i="55" s="1"/>
  <c r="H228" i="53"/>
  <c r="H161" i="53"/>
  <c r="D44" i="55"/>
  <c r="F48" i="53"/>
  <c r="F101" i="53" s="1"/>
  <c r="G97" i="81"/>
  <c r="G14" i="53"/>
  <c r="G67" i="53" s="1"/>
  <c r="F48" i="81"/>
  <c r="E17" i="55"/>
  <c r="E74" i="55" s="1"/>
  <c r="C130" i="55"/>
  <c r="E188" i="55" s="1"/>
  <c r="E243" i="55"/>
  <c r="G241" i="53"/>
  <c r="G177" i="53"/>
  <c r="E79" i="81"/>
  <c r="G9" i="53"/>
  <c r="G62" i="53" s="1"/>
  <c r="G92" i="81"/>
  <c r="D47" i="55"/>
  <c r="D104" i="55" s="1"/>
  <c r="E56" i="81"/>
  <c r="D25" i="55"/>
  <c r="D82" i="55" s="1"/>
  <c r="E83" i="81"/>
  <c r="E54" i="81"/>
  <c r="D23" i="55"/>
  <c r="D80" i="55" s="1"/>
  <c r="E38" i="55"/>
  <c r="E95" i="55" s="1"/>
  <c r="F42" i="53"/>
  <c r="F95" i="53" s="1"/>
  <c r="G137" i="53"/>
  <c r="G204" i="53"/>
  <c r="F240" i="55"/>
  <c r="D127" i="55"/>
  <c r="F185" i="55" s="1"/>
  <c r="F276" i="55"/>
  <c r="D166" i="55"/>
  <c r="F225" i="55" s="1"/>
  <c r="H229" i="53"/>
  <c r="H162" i="53"/>
  <c r="E82" i="81"/>
  <c r="F237" i="53"/>
  <c r="F170" i="53"/>
  <c r="E78" i="81"/>
  <c r="F110" i="81"/>
  <c r="F27" i="53"/>
  <c r="F80" i="53" s="1"/>
  <c r="G264" i="55"/>
  <c r="E151" i="55"/>
  <c r="G210" i="55" s="1"/>
  <c r="E92" i="55"/>
  <c r="C131" i="55"/>
  <c r="E189" i="55" s="1"/>
  <c r="E244" i="55"/>
  <c r="E114" i="53"/>
  <c r="F111" i="81"/>
  <c r="F28" i="53"/>
  <c r="F81" i="53" s="1"/>
  <c r="E273" i="55"/>
  <c r="C160" i="55"/>
  <c r="E219" i="55" s="1"/>
  <c r="G57" i="53"/>
  <c r="G110" i="53" s="1"/>
  <c r="E242" i="55"/>
  <c r="C129" i="55"/>
  <c r="E187" i="55" s="1"/>
  <c r="F234" i="53"/>
  <c r="F167" i="53"/>
  <c r="F50" i="53"/>
  <c r="F103" i="53" s="1"/>
  <c r="F102" i="81"/>
  <c r="F19" i="53"/>
  <c r="F72" i="53" s="1"/>
  <c r="F51" i="53"/>
  <c r="F104" i="53" s="1"/>
  <c r="G172" i="53" s="1"/>
  <c r="G98" i="81"/>
  <c r="G15" i="53"/>
  <c r="G68" i="53" s="1"/>
  <c r="E59" i="55"/>
  <c r="E116" i="55" s="1"/>
  <c r="E16" i="55"/>
  <c r="E73" i="55" s="1"/>
  <c r="F47" i="81"/>
  <c r="F73" i="81"/>
  <c r="F237" i="55"/>
  <c r="D124" i="55"/>
  <c r="F182" i="55" s="1"/>
  <c r="I35" i="29"/>
  <c r="E39" i="55"/>
  <c r="E96" i="55" s="1"/>
  <c r="F41" i="55"/>
  <c r="F98" i="55" s="1"/>
  <c r="F45" i="81"/>
  <c r="E14" i="55"/>
  <c r="E71" i="55" s="1"/>
  <c r="G45" i="83"/>
  <c r="G36" i="53"/>
  <c r="G89" i="53" s="1"/>
  <c r="F104" i="81"/>
  <c r="F21" i="53"/>
  <c r="F74" i="53" s="1"/>
  <c r="G34" i="53"/>
  <c r="G87" i="53" s="1"/>
  <c r="F74" i="81"/>
  <c r="F43" i="53"/>
  <c r="F96" i="53" s="1"/>
  <c r="G55" i="53"/>
  <c r="G108" i="53" s="1"/>
  <c r="E250" i="53"/>
  <c r="E187" i="53"/>
  <c r="E55" i="81"/>
  <c r="D24" i="55"/>
  <c r="D81" i="55" s="1"/>
  <c r="M54" i="22"/>
  <c r="M55" i="22" s="1"/>
  <c r="E253" i="55"/>
  <c r="C140" i="55"/>
  <c r="E198" i="55" s="1"/>
  <c r="F212" i="53"/>
  <c r="F145" i="53"/>
  <c r="E270" i="55"/>
  <c r="C157" i="55"/>
  <c r="E216" i="55" s="1"/>
  <c r="F239" i="55"/>
  <c r="D126" i="55"/>
  <c r="F184" i="55" s="1"/>
  <c r="F75" i="81"/>
  <c r="E52" i="81"/>
  <c r="D21" i="55"/>
  <c r="D78" i="55" s="1"/>
  <c r="G56" i="53"/>
  <c r="G109" i="53" s="1"/>
  <c r="E267" i="55"/>
  <c r="C154" i="55"/>
  <c r="E213" i="55" s="1"/>
  <c r="H221" i="53"/>
  <c r="H154" i="53"/>
  <c r="E84" i="81"/>
  <c r="C138" i="55"/>
  <c r="E196" i="55" s="1"/>
  <c r="E251" i="55"/>
  <c r="F233" i="53"/>
  <c r="F166" i="53"/>
  <c r="F72" i="81"/>
  <c r="G99" i="81"/>
  <c r="G16" i="53"/>
  <c r="G69" i="53" s="1"/>
  <c r="E76" i="81"/>
  <c r="F49" i="81"/>
  <c r="E18" i="55"/>
  <c r="E75" i="55" s="1"/>
  <c r="E57" i="55"/>
  <c r="E114" i="55" s="1"/>
  <c r="I41" i="53"/>
  <c r="I94" i="53" s="1"/>
  <c r="H41" i="53"/>
  <c r="H94" i="53" s="1"/>
  <c r="F49" i="53"/>
  <c r="F102" i="53" s="1"/>
  <c r="F42" i="55"/>
  <c r="F99" i="55" s="1"/>
  <c r="E254" i="53"/>
  <c r="I169" i="29" l="1"/>
  <c r="I124" i="29"/>
  <c r="I139" i="29"/>
  <c r="I154" i="29"/>
  <c r="I34" i="29"/>
  <c r="D38" i="22"/>
  <c r="D60" i="22" s="1"/>
  <c r="H176" i="29"/>
  <c r="H131" i="29"/>
  <c r="H146" i="29"/>
  <c r="H161" i="29"/>
  <c r="P49" i="22"/>
  <c r="Q49" i="22" s="1"/>
  <c r="F37" i="22"/>
  <c r="E59" i="22"/>
  <c r="E35" i="22"/>
  <c r="M56" i="22"/>
  <c r="N53" i="22" s="1"/>
  <c r="H37" i="21"/>
  <c r="H40" i="21" s="1"/>
  <c r="H25" i="68"/>
  <c r="F254" i="53"/>
  <c r="G259" i="55"/>
  <c r="E146" i="55"/>
  <c r="G205" i="55" s="1"/>
  <c r="F37" i="55"/>
  <c r="F94" i="55" s="1"/>
  <c r="E260" i="53"/>
  <c r="I35" i="53"/>
  <c r="I88" i="53" s="1"/>
  <c r="H35" i="53"/>
  <c r="H88" i="53" s="1"/>
  <c r="E191" i="53"/>
  <c r="H223" i="53"/>
  <c r="H156" i="53"/>
  <c r="M29" i="22"/>
  <c r="L60" i="22"/>
  <c r="N35" i="22"/>
  <c r="G49" i="81"/>
  <c r="F18" i="55"/>
  <c r="F75" i="55" s="1"/>
  <c r="F52" i="81"/>
  <c r="E21" i="55"/>
  <c r="E78" i="55" s="1"/>
  <c r="I229" i="53"/>
  <c r="I162" i="53"/>
  <c r="G240" i="55"/>
  <c r="E127" i="55"/>
  <c r="G185" i="55" s="1"/>
  <c r="H204" i="53"/>
  <c r="H137" i="53"/>
  <c r="I56" i="53"/>
  <c r="I109" i="53" s="1"/>
  <c r="H56" i="53"/>
  <c r="H109" i="53" s="1"/>
  <c r="D130" i="55"/>
  <c r="F188" i="55" s="1"/>
  <c r="F243" i="55"/>
  <c r="F246" i="55"/>
  <c r="D133" i="55"/>
  <c r="F191" i="55" s="1"/>
  <c r="G164" i="53"/>
  <c r="G231" i="53"/>
  <c r="G142" i="53"/>
  <c r="G209" i="53"/>
  <c r="G236" i="55"/>
  <c r="E123" i="55"/>
  <c r="G181" i="55" s="1"/>
  <c r="G261" i="55"/>
  <c r="E148" i="55"/>
  <c r="G207" i="55" s="1"/>
  <c r="F59" i="55"/>
  <c r="F116" i="55" s="1"/>
  <c r="G51" i="53"/>
  <c r="G104" i="53" s="1"/>
  <c r="H172" i="53" s="1"/>
  <c r="G50" i="53"/>
  <c r="G103" i="53" s="1"/>
  <c r="F245" i="53"/>
  <c r="F182" i="53"/>
  <c r="G110" i="81"/>
  <c r="G27" i="53"/>
  <c r="G80" i="53" s="1"/>
  <c r="G42" i="53"/>
  <c r="G95" i="53" s="1"/>
  <c r="F54" i="81"/>
  <c r="E23" i="55"/>
  <c r="E80" i="55" s="1"/>
  <c r="F56" i="81"/>
  <c r="E25" i="55"/>
  <c r="E82" i="55" s="1"/>
  <c r="E47" i="55"/>
  <c r="E104" i="55" s="1"/>
  <c r="F79" i="81"/>
  <c r="H97" i="81"/>
  <c r="I14" i="53" s="1"/>
  <c r="I67" i="53" s="1"/>
  <c r="H14" i="53"/>
  <c r="H67" i="53" s="1"/>
  <c r="G48" i="53"/>
  <c r="G101" i="53" s="1"/>
  <c r="E52" i="55"/>
  <c r="E109" i="55" s="1"/>
  <c r="F57" i="81"/>
  <c r="E26" i="55"/>
  <c r="E83" i="55" s="1"/>
  <c r="E50" i="55"/>
  <c r="E107" i="55" s="1"/>
  <c r="F271" i="55"/>
  <c r="D158" i="55"/>
  <c r="F217" i="55" s="1"/>
  <c r="G106" i="81"/>
  <c r="G23" i="53"/>
  <c r="G76" i="53" s="1"/>
  <c r="G47" i="53"/>
  <c r="G100" i="53" s="1"/>
  <c r="F114" i="53"/>
  <c r="H265" i="55"/>
  <c r="F152" i="55"/>
  <c r="H211" i="55" s="1"/>
  <c r="E284" i="55"/>
  <c r="E178" i="55"/>
  <c r="E285" i="55"/>
  <c r="G262" i="55"/>
  <c r="E149" i="55"/>
  <c r="G208" i="55" s="1"/>
  <c r="F249" i="55"/>
  <c r="D136" i="55"/>
  <c r="F194" i="55" s="1"/>
  <c r="I228" i="53"/>
  <c r="I161" i="53"/>
  <c r="D282" i="55"/>
  <c r="D283" i="55"/>
  <c r="F58" i="55"/>
  <c r="F115" i="55" s="1"/>
  <c r="H225" i="53"/>
  <c r="H158" i="53"/>
  <c r="F56" i="55"/>
  <c r="F113" i="55" s="1"/>
  <c r="H200" i="53"/>
  <c r="H133" i="53"/>
  <c r="H226" i="53"/>
  <c r="H159" i="53"/>
  <c r="H239" i="53"/>
  <c r="H175" i="53"/>
  <c r="F253" i="53"/>
  <c r="H41" i="22"/>
  <c r="F187" i="53"/>
  <c r="F250" i="53"/>
  <c r="J221" i="53"/>
  <c r="J154" i="53"/>
  <c r="C10" i="55"/>
  <c r="C65" i="55"/>
  <c r="E200" i="55" s="1"/>
  <c r="G107" i="81"/>
  <c r="G24" i="53"/>
  <c r="G77" i="53" s="1"/>
  <c r="F11" i="55"/>
  <c r="G42" i="81"/>
  <c r="F80" i="81"/>
  <c r="F15" i="55"/>
  <c r="F72" i="55" s="1"/>
  <c r="G46" i="81"/>
  <c r="F85" i="81"/>
  <c r="G167" i="53"/>
  <c r="G234" i="53"/>
  <c r="E51" i="55"/>
  <c r="E108" i="55" s="1"/>
  <c r="D131" i="55"/>
  <c r="F189" i="55" s="1"/>
  <c r="F244" i="55"/>
  <c r="E259" i="53"/>
  <c r="J229" i="53"/>
  <c r="J162" i="53"/>
  <c r="H99" i="81"/>
  <c r="I16" i="53" s="1"/>
  <c r="I69" i="53" s="1"/>
  <c r="H16" i="53"/>
  <c r="H69" i="53" s="1"/>
  <c r="E24" i="55"/>
  <c r="E81" i="55" s="1"/>
  <c r="F55" i="81"/>
  <c r="G43" i="53"/>
  <c r="G96" i="53" s="1"/>
  <c r="G104" i="81"/>
  <c r="G21" i="53"/>
  <c r="G74" i="53" s="1"/>
  <c r="G45" i="81"/>
  <c r="F14" i="55"/>
  <c r="F71" i="55" s="1"/>
  <c r="F39" i="55"/>
  <c r="F96" i="55" s="1"/>
  <c r="G47" i="81"/>
  <c r="F16" i="55"/>
  <c r="F73" i="55" s="1"/>
  <c r="H203" i="53"/>
  <c r="H136" i="53"/>
  <c r="G207" i="53"/>
  <c r="G140" i="53"/>
  <c r="G216" i="53"/>
  <c r="G149" i="53"/>
  <c r="F78" i="81"/>
  <c r="F82" i="81"/>
  <c r="G260" i="55"/>
  <c r="E147" i="55"/>
  <c r="G206" i="55" s="1"/>
  <c r="H92" i="81"/>
  <c r="I9" i="53" s="1"/>
  <c r="I62" i="53" s="1"/>
  <c r="H9" i="53"/>
  <c r="H62" i="53" s="1"/>
  <c r="G239" i="55"/>
  <c r="E126" i="55"/>
  <c r="G184" i="55" s="1"/>
  <c r="D101" i="55"/>
  <c r="D61" i="55"/>
  <c r="G146" i="53"/>
  <c r="G213" i="53"/>
  <c r="E49" i="55"/>
  <c r="E106" i="55" s="1"/>
  <c r="J227" i="53"/>
  <c r="J160" i="53"/>
  <c r="H198" i="53"/>
  <c r="H131" i="53"/>
  <c r="G206" i="53"/>
  <c r="G139" i="53"/>
  <c r="F118" i="53"/>
  <c r="G43" i="55"/>
  <c r="G100" i="55" s="1"/>
  <c r="H43" i="55"/>
  <c r="H100" i="55" s="1"/>
  <c r="F40" i="55"/>
  <c r="F97" i="55" s="1"/>
  <c r="F58" i="81"/>
  <c r="E27" i="55"/>
  <c r="E84" i="55" s="1"/>
  <c r="G52" i="53"/>
  <c r="G105" i="53" s="1"/>
  <c r="H173" i="53" s="1"/>
  <c r="J228" i="53"/>
  <c r="J161" i="53"/>
  <c r="D33" i="55"/>
  <c r="H199" i="53"/>
  <c r="H132" i="53"/>
  <c r="G235" i="55"/>
  <c r="E122" i="55"/>
  <c r="G180" i="55" s="1"/>
  <c r="M37" i="22"/>
  <c r="I37" i="53"/>
  <c r="I90" i="53" s="1"/>
  <c r="H37" i="53"/>
  <c r="H90" i="53" s="1"/>
  <c r="G275" i="55"/>
  <c r="E165" i="55"/>
  <c r="G224" i="55" s="1"/>
  <c r="H95" i="81"/>
  <c r="I12" i="53" s="1"/>
  <c r="I65" i="53" s="1"/>
  <c r="H12" i="53"/>
  <c r="H65" i="53" s="1"/>
  <c r="G68" i="81"/>
  <c r="H54" i="53"/>
  <c r="H107" i="53" s="1"/>
  <c r="I54" i="53"/>
  <c r="I107" i="53" s="1"/>
  <c r="G252" i="55"/>
  <c r="E139" i="55"/>
  <c r="G197" i="55" s="1"/>
  <c r="F251" i="53"/>
  <c r="F188" i="53"/>
  <c r="G233" i="53"/>
  <c r="G166" i="53"/>
  <c r="D229" i="55"/>
  <c r="I221" i="53"/>
  <c r="I154" i="53"/>
  <c r="F270" i="55"/>
  <c r="D157" i="55"/>
  <c r="F216" i="55" s="1"/>
  <c r="F253" i="55"/>
  <c r="D140" i="55"/>
  <c r="F198" i="55" s="1"/>
  <c r="F77" i="81"/>
  <c r="G46" i="53"/>
  <c r="G99" i="53" s="1"/>
  <c r="N42" i="22"/>
  <c r="F53" i="81"/>
  <c r="E22" i="55"/>
  <c r="E79" i="55" s="1"/>
  <c r="D274" i="53"/>
  <c r="D276" i="53" s="1"/>
  <c r="H264" i="55"/>
  <c r="F151" i="55"/>
  <c r="H210" i="55" s="1"/>
  <c r="G237" i="53"/>
  <c r="G170" i="53"/>
  <c r="G276" i="55"/>
  <c r="E166" i="55"/>
  <c r="G225" i="55" s="1"/>
  <c r="F76" i="81"/>
  <c r="F84" i="81"/>
  <c r="I55" i="53"/>
  <c r="I108" i="53" s="1"/>
  <c r="H55" i="53"/>
  <c r="H108" i="53" s="1"/>
  <c r="G74" i="81"/>
  <c r="I34" i="53"/>
  <c r="I87" i="53" s="1"/>
  <c r="H34" i="53"/>
  <c r="H87" i="53" s="1"/>
  <c r="H224" i="53"/>
  <c r="H157" i="53"/>
  <c r="H263" i="55"/>
  <c r="F150" i="55"/>
  <c r="H209" i="55" s="1"/>
  <c r="E125" i="55"/>
  <c r="G183" i="55" s="1"/>
  <c r="G238" i="55"/>
  <c r="H98" i="81"/>
  <c r="I15" i="53" s="1"/>
  <c r="I68" i="53" s="1"/>
  <c r="H15" i="53"/>
  <c r="H68" i="53" s="1"/>
  <c r="G102" i="81"/>
  <c r="G19" i="53"/>
  <c r="G72" i="53" s="1"/>
  <c r="H242" i="53"/>
  <c r="H178" i="53"/>
  <c r="G111" i="81"/>
  <c r="G28" i="53"/>
  <c r="G81" i="53" s="1"/>
  <c r="G257" i="55"/>
  <c r="E144" i="55"/>
  <c r="G203" i="55" s="1"/>
  <c r="F38" i="55"/>
  <c r="F95" i="55" s="1"/>
  <c r="F83" i="81"/>
  <c r="H197" i="53"/>
  <c r="H130" i="53"/>
  <c r="G48" i="81"/>
  <c r="F17" i="55"/>
  <c r="F74" i="55" s="1"/>
  <c r="E44" i="55"/>
  <c r="G108" i="81"/>
  <c r="G25" i="53"/>
  <c r="G78" i="53" s="1"/>
  <c r="F268" i="55"/>
  <c r="D155" i="55"/>
  <c r="F214" i="55" s="1"/>
  <c r="F246" i="53"/>
  <c r="F183" i="53"/>
  <c r="F92" i="55"/>
  <c r="G150" i="53"/>
  <c r="G217" i="53"/>
  <c r="I227" i="53"/>
  <c r="I160" i="53"/>
  <c r="H93" i="81"/>
  <c r="I10" i="53" s="1"/>
  <c r="I63" i="53" s="1"/>
  <c r="H10" i="53"/>
  <c r="H63" i="53" s="1"/>
  <c r="G101" i="81"/>
  <c r="G18" i="53"/>
  <c r="G71" i="53" s="1"/>
  <c r="F119" i="53"/>
  <c r="F115" i="53"/>
  <c r="G258" i="55"/>
  <c r="E145" i="55"/>
  <c r="G204" i="55" s="1"/>
  <c r="E121" i="55"/>
  <c r="G179" i="55" s="1"/>
  <c r="G234" i="55"/>
  <c r="H201" i="53"/>
  <c r="H134" i="53"/>
  <c r="D120" i="55"/>
  <c r="F233" i="55"/>
  <c r="I11" i="53"/>
  <c r="I64" i="53" s="1"/>
  <c r="H11" i="53"/>
  <c r="H64" i="53" s="1"/>
  <c r="F13" i="55"/>
  <c r="F70" i="55" s="1"/>
  <c r="G232" i="53"/>
  <c r="G165" i="53"/>
  <c r="F250" i="55"/>
  <c r="D137" i="55"/>
  <c r="F195" i="55" s="1"/>
  <c r="E128" i="55"/>
  <c r="G186" i="55" s="1"/>
  <c r="G241" i="55"/>
  <c r="F81" i="81"/>
  <c r="G71" i="81"/>
  <c r="G210" i="53"/>
  <c r="G143" i="53"/>
  <c r="G61" i="81"/>
  <c r="F30" i="55"/>
  <c r="F87" i="55" s="1"/>
  <c r="G141" i="53"/>
  <c r="G208" i="53"/>
  <c r="G45" i="53"/>
  <c r="G98" i="53" s="1"/>
  <c r="D138" i="55"/>
  <c r="F196" i="55" s="1"/>
  <c r="F251" i="55"/>
  <c r="F267" i="55"/>
  <c r="D154" i="55"/>
  <c r="F213" i="55" s="1"/>
  <c r="E48" i="55"/>
  <c r="E105" i="55" s="1"/>
  <c r="F62" i="81"/>
  <c r="E31" i="55"/>
  <c r="E88" i="55" s="1"/>
  <c r="G70" i="81"/>
  <c r="F242" i="55"/>
  <c r="D129" i="55"/>
  <c r="F187" i="55" s="1"/>
  <c r="C36" i="29"/>
  <c r="H42" i="55"/>
  <c r="H99" i="55" s="1"/>
  <c r="G42" i="55"/>
  <c r="G99" i="55" s="1"/>
  <c r="G49" i="53"/>
  <c r="G102" i="53" s="1"/>
  <c r="F57" i="55"/>
  <c r="F114" i="55" s="1"/>
  <c r="G72" i="81"/>
  <c r="H241" i="53"/>
  <c r="H177" i="53"/>
  <c r="G75" i="81"/>
  <c r="N54" i="22"/>
  <c r="N55" i="22" s="1"/>
  <c r="H240" i="53"/>
  <c r="H176" i="53"/>
  <c r="H222" i="53"/>
  <c r="H155" i="53"/>
  <c r="H45" i="83"/>
  <c r="I36" i="53" s="1"/>
  <c r="I89" i="53" s="1"/>
  <c r="H36" i="53"/>
  <c r="H89" i="53" s="1"/>
  <c r="H41" i="55"/>
  <c r="H98" i="55" s="1"/>
  <c r="G41" i="55"/>
  <c r="G98" i="55" s="1"/>
  <c r="G73" i="81"/>
  <c r="G278" i="55"/>
  <c r="E168" i="55"/>
  <c r="G227" i="55" s="1"/>
  <c r="G171" i="53"/>
  <c r="G238" i="53"/>
  <c r="I57" i="53"/>
  <c r="I110" i="53" s="1"/>
  <c r="H57" i="53"/>
  <c r="H110" i="53" s="1"/>
  <c r="G215" i="53"/>
  <c r="G148" i="53"/>
  <c r="G163" i="53"/>
  <c r="G230" i="53"/>
  <c r="F245" i="55"/>
  <c r="D132" i="55"/>
  <c r="F190" i="55" s="1"/>
  <c r="D134" i="55"/>
  <c r="F192" i="55" s="1"/>
  <c r="F247" i="55"/>
  <c r="F269" i="55"/>
  <c r="D156" i="55"/>
  <c r="F215" i="55" s="1"/>
  <c r="H202" i="53"/>
  <c r="H135" i="53"/>
  <c r="G236" i="53"/>
  <c r="G169" i="53"/>
  <c r="G53" i="53"/>
  <c r="G106" i="53" s="1"/>
  <c r="H174" i="53" s="1"/>
  <c r="F274" i="55"/>
  <c r="D161" i="55"/>
  <c r="F220" i="55" s="1"/>
  <c r="D135" i="55"/>
  <c r="F193" i="55" s="1"/>
  <c r="F248" i="55"/>
  <c r="F272" i="55"/>
  <c r="D159" i="55"/>
  <c r="F218" i="55" s="1"/>
  <c r="E46" i="55"/>
  <c r="E103" i="55" s="1"/>
  <c r="F247" i="53"/>
  <c r="F184" i="53"/>
  <c r="G35" i="55"/>
  <c r="H35" i="55"/>
  <c r="G112" i="81"/>
  <c r="G29" i="53"/>
  <c r="G82" i="53" s="1"/>
  <c r="L31" i="22"/>
  <c r="L58" i="22"/>
  <c r="C89" i="22" s="1"/>
  <c r="G211" i="53"/>
  <c r="G144" i="53"/>
  <c r="G168" i="53"/>
  <c r="G235" i="53"/>
  <c r="F116" i="53"/>
  <c r="F36" i="55"/>
  <c r="F93" i="55" s="1"/>
  <c r="G43" i="81"/>
  <c r="F12" i="55"/>
  <c r="F69" i="55" s="1"/>
  <c r="H96" i="81"/>
  <c r="I13" i="53" s="1"/>
  <c r="I66" i="53" s="1"/>
  <c r="H13" i="53"/>
  <c r="H66" i="53" s="1"/>
  <c r="G277" i="55"/>
  <c r="E167" i="55"/>
  <c r="G226" i="55" s="1"/>
  <c r="G44" i="53"/>
  <c r="G97" i="53" s="1"/>
  <c r="F59" i="81"/>
  <c r="E28" i="55"/>
  <c r="E85" i="55" s="1"/>
  <c r="G50" i="81"/>
  <c r="F19" i="55"/>
  <c r="F76" i="55" s="1"/>
  <c r="I38" i="53"/>
  <c r="I91" i="53" s="1"/>
  <c r="H38" i="53"/>
  <c r="H91" i="53" s="1"/>
  <c r="G105" i="81"/>
  <c r="G22" i="53"/>
  <c r="G75" i="53" s="1"/>
  <c r="D11" i="23"/>
  <c r="F11" i="23" s="1"/>
  <c r="G103" i="81"/>
  <c r="G20" i="53"/>
  <c r="G73" i="53" s="1"/>
  <c r="F60" i="81"/>
  <c r="E29" i="55"/>
  <c r="E86" i="55" s="1"/>
  <c r="E45" i="55"/>
  <c r="E102" i="55" s="1"/>
  <c r="G67" i="81"/>
  <c r="G145" i="53"/>
  <c r="G212" i="53"/>
  <c r="E68" i="55"/>
  <c r="E124" i="55"/>
  <c r="G182" i="55" s="1"/>
  <c r="G237" i="55"/>
  <c r="E20" i="55"/>
  <c r="E77" i="55" s="1"/>
  <c r="F51" i="81"/>
  <c r="F273" i="55"/>
  <c r="D160" i="55"/>
  <c r="F219" i="55" s="1"/>
  <c r="I161" i="29" l="1"/>
  <c r="I146" i="29"/>
  <c r="I131" i="29"/>
  <c r="I176" i="29"/>
  <c r="E17" i="61"/>
  <c r="E57" i="22"/>
  <c r="D14" i="69" s="1"/>
  <c r="D16" i="69" s="1"/>
  <c r="E38" i="22"/>
  <c r="G37" i="22"/>
  <c r="F59" i="22"/>
  <c r="I25" i="68"/>
  <c r="E262" i="53"/>
  <c r="G254" i="53"/>
  <c r="H37" i="55"/>
  <c r="H94" i="55" s="1"/>
  <c r="G37" i="55"/>
  <c r="G94" i="55" s="1"/>
  <c r="H259" i="55"/>
  <c r="F146" i="55"/>
  <c r="H205" i="55" s="1"/>
  <c r="J156" i="53"/>
  <c r="J223" i="53"/>
  <c r="F191" i="53"/>
  <c r="I223" i="53"/>
  <c r="I156" i="53"/>
  <c r="H258" i="55"/>
  <c r="F145" i="55"/>
  <c r="H204" i="55" s="1"/>
  <c r="H92" i="55"/>
  <c r="G270" i="55"/>
  <c r="E157" i="55"/>
  <c r="G216" i="55" s="1"/>
  <c r="H206" i="53"/>
  <c r="H139" i="53"/>
  <c r="H111" i="81"/>
  <c r="I28" i="53" s="1"/>
  <c r="I81" i="53" s="1"/>
  <c r="H28" i="53"/>
  <c r="H81" i="53" s="1"/>
  <c r="G53" i="81"/>
  <c r="F22" i="55"/>
  <c r="F79" i="55" s="1"/>
  <c r="H40" i="55"/>
  <c r="H97" i="55" s="1"/>
  <c r="G40" i="55"/>
  <c r="G97" i="55" s="1"/>
  <c r="G271" i="55"/>
  <c r="E158" i="55"/>
  <c r="G217" i="55" s="1"/>
  <c r="E129" i="55"/>
  <c r="G187" i="55" s="1"/>
  <c r="G242" i="55"/>
  <c r="G60" i="81"/>
  <c r="F29" i="55"/>
  <c r="F86" i="55" s="1"/>
  <c r="I263" i="55"/>
  <c r="G150" i="55"/>
  <c r="I209" i="55" s="1"/>
  <c r="H260" i="55"/>
  <c r="F147" i="55"/>
  <c r="H206" i="55" s="1"/>
  <c r="H102" i="81"/>
  <c r="I19" i="53" s="1"/>
  <c r="I72" i="53" s="1"/>
  <c r="H19" i="53"/>
  <c r="H72" i="53" s="1"/>
  <c r="G84" i="81"/>
  <c r="E136" i="55"/>
  <c r="G194" i="55" s="1"/>
  <c r="G249" i="55"/>
  <c r="E133" i="55"/>
  <c r="G191" i="55" s="1"/>
  <c r="G246" i="55"/>
  <c r="G57" i="81"/>
  <c r="F26" i="55"/>
  <c r="F83" i="55" s="1"/>
  <c r="I42" i="53"/>
  <c r="I95" i="53" s="1"/>
  <c r="H42" i="53"/>
  <c r="H95" i="53" s="1"/>
  <c r="J241" i="53"/>
  <c r="J177" i="53"/>
  <c r="G267" i="55"/>
  <c r="E154" i="55"/>
  <c r="G213" i="55" s="1"/>
  <c r="H208" i="53"/>
  <c r="H141" i="53"/>
  <c r="H210" i="53"/>
  <c r="H143" i="53"/>
  <c r="I226" i="53"/>
  <c r="I159" i="53"/>
  <c r="F128" i="55"/>
  <c r="H186" i="55" s="1"/>
  <c r="H241" i="55"/>
  <c r="I44" i="53"/>
  <c r="I97" i="53" s="1"/>
  <c r="H44" i="53"/>
  <c r="H97" i="53" s="1"/>
  <c r="H36" i="55"/>
  <c r="H93" i="55" s="1"/>
  <c r="G36" i="55"/>
  <c r="G93" i="55" s="1"/>
  <c r="L59" i="22"/>
  <c r="G92" i="55"/>
  <c r="F46" i="55"/>
  <c r="F103" i="55" s="1"/>
  <c r="H73" i="81"/>
  <c r="J263" i="55"/>
  <c r="H150" i="55"/>
  <c r="H72" i="81"/>
  <c r="I49" i="53"/>
  <c r="I102" i="53" s="1"/>
  <c r="H49" i="53"/>
  <c r="H102" i="53" s="1"/>
  <c r="F31" i="55"/>
  <c r="F88" i="55" s="1"/>
  <c r="G62" i="81"/>
  <c r="F48" i="55"/>
  <c r="F105" i="55" s="1"/>
  <c r="H235" i="55"/>
  <c r="F122" i="55"/>
  <c r="H180" i="55" s="1"/>
  <c r="H101" i="81"/>
  <c r="I18" i="53" s="1"/>
  <c r="I71" i="53" s="1"/>
  <c r="H18" i="53"/>
  <c r="H71" i="53" s="1"/>
  <c r="E101" i="55"/>
  <c r="E61" i="55"/>
  <c r="H38" i="55"/>
  <c r="H95" i="55" s="1"/>
  <c r="G38" i="55"/>
  <c r="G95" i="55" s="1"/>
  <c r="I203" i="53"/>
  <c r="I136" i="53"/>
  <c r="I222" i="53"/>
  <c r="I155" i="53"/>
  <c r="I240" i="53"/>
  <c r="I176" i="53"/>
  <c r="G76" i="81"/>
  <c r="N43" i="22"/>
  <c r="H68" i="81"/>
  <c r="F27" i="55"/>
  <c r="F84" i="55" s="1"/>
  <c r="G58" i="81"/>
  <c r="F49" i="55"/>
  <c r="F106" i="55" s="1"/>
  <c r="F266" i="55"/>
  <c r="D153" i="55"/>
  <c r="F212" i="55" s="1"/>
  <c r="H261" i="55"/>
  <c r="F148" i="55"/>
  <c r="H207" i="55" s="1"/>
  <c r="H209" i="53"/>
  <c r="H142" i="53"/>
  <c r="H231" i="53"/>
  <c r="H164" i="53"/>
  <c r="J204" i="53"/>
  <c r="J137" i="53"/>
  <c r="F51" i="55"/>
  <c r="F108" i="55" s="1"/>
  <c r="G85" i="81"/>
  <c r="G80" i="81"/>
  <c r="H107" i="81"/>
  <c r="I24" i="53" s="1"/>
  <c r="I77" i="53" s="1"/>
  <c r="H24" i="53"/>
  <c r="H77" i="53" s="1"/>
  <c r="E282" i="55"/>
  <c r="E283" i="55"/>
  <c r="H211" i="53"/>
  <c r="H144" i="53"/>
  <c r="G272" i="55"/>
  <c r="E159" i="55"/>
  <c r="G218" i="55" s="1"/>
  <c r="G274" i="55"/>
  <c r="E161" i="55"/>
  <c r="G220" i="55" s="1"/>
  <c r="I202" i="53"/>
  <c r="I135" i="53"/>
  <c r="G269" i="55"/>
  <c r="E156" i="55"/>
  <c r="G215" i="55" s="1"/>
  <c r="E132" i="55"/>
  <c r="G190" i="55" s="1"/>
  <c r="G245" i="55"/>
  <c r="H215" i="53"/>
  <c r="H148" i="53"/>
  <c r="H238" i="53"/>
  <c r="H171" i="53"/>
  <c r="H278" i="55"/>
  <c r="F168" i="55"/>
  <c r="H227" i="55" s="1"/>
  <c r="G243" i="55"/>
  <c r="E130" i="55"/>
  <c r="G188" i="55" s="1"/>
  <c r="G268" i="55"/>
  <c r="E155" i="55"/>
  <c r="G214" i="55" s="1"/>
  <c r="H237" i="53"/>
  <c r="H170" i="53"/>
  <c r="E140" i="55"/>
  <c r="G198" i="55" s="1"/>
  <c r="G253" i="55"/>
  <c r="J199" i="53"/>
  <c r="J132" i="53"/>
  <c r="H257" i="55"/>
  <c r="F144" i="55"/>
  <c r="H203" i="55" s="1"/>
  <c r="G114" i="53"/>
  <c r="G250" i="53"/>
  <c r="G187" i="53"/>
  <c r="G78" i="81"/>
  <c r="H47" i="81"/>
  <c r="H16" i="55" s="1"/>
  <c r="H73" i="55" s="1"/>
  <c r="G16" i="55"/>
  <c r="G73" i="55" s="1"/>
  <c r="H212" i="53"/>
  <c r="H145" i="53"/>
  <c r="H56" i="55"/>
  <c r="H113" i="55" s="1"/>
  <c r="G56" i="55"/>
  <c r="G113" i="55" s="1"/>
  <c r="H47" i="53"/>
  <c r="H100" i="53" s="1"/>
  <c r="I47" i="53"/>
  <c r="I100" i="53" s="1"/>
  <c r="H236" i="53"/>
  <c r="H169" i="53"/>
  <c r="G56" i="81"/>
  <c r="F25" i="55"/>
  <c r="F82" i="55" s="1"/>
  <c r="H51" i="53"/>
  <c r="H104" i="53" s="1"/>
  <c r="I172" i="53" s="1"/>
  <c r="I51" i="53"/>
  <c r="I104" i="53" s="1"/>
  <c r="H49" i="81"/>
  <c r="H18" i="55" s="1"/>
  <c r="H75" i="55" s="1"/>
  <c r="G18" i="55"/>
  <c r="G75" i="55" s="1"/>
  <c r="M30" i="22"/>
  <c r="M58" i="22" s="1"/>
  <c r="D89" i="22" s="1"/>
  <c r="M57" i="22"/>
  <c r="F45" i="55"/>
  <c r="F102" i="55" s="1"/>
  <c r="J226" i="53"/>
  <c r="J159" i="53"/>
  <c r="H232" i="53"/>
  <c r="H165" i="53"/>
  <c r="I201" i="53"/>
  <c r="I134" i="53"/>
  <c r="F121" i="55"/>
  <c r="H179" i="55" s="1"/>
  <c r="H234" i="55"/>
  <c r="H217" i="53"/>
  <c r="H150" i="53"/>
  <c r="I242" i="53"/>
  <c r="I178" i="53"/>
  <c r="I224" i="53"/>
  <c r="I157" i="53"/>
  <c r="H276" i="55"/>
  <c r="F166" i="55"/>
  <c r="H225" i="55" s="1"/>
  <c r="I264" i="55"/>
  <c r="G151" i="55"/>
  <c r="I210" i="55" s="1"/>
  <c r="H70" i="81"/>
  <c r="H233" i="53"/>
  <c r="H166" i="53"/>
  <c r="H252" i="55"/>
  <c r="F139" i="55"/>
  <c r="H197" i="55" s="1"/>
  <c r="H13" i="55"/>
  <c r="H70" i="55" s="1"/>
  <c r="G13" i="55"/>
  <c r="G70" i="55" s="1"/>
  <c r="F284" i="55"/>
  <c r="F285" i="55"/>
  <c r="F178" i="55"/>
  <c r="G246" i="53"/>
  <c r="G183" i="53"/>
  <c r="I198" i="53"/>
  <c r="I131" i="53"/>
  <c r="F44" i="55"/>
  <c r="F101" i="55" s="1"/>
  <c r="G119" i="53"/>
  <c r="G118" i="53"/>
  <c r="G83" i="81"/>
  <c r="J203" i="53"/>
  <c r="J136" i="53"/>
  <c r="J222" i="53"/>
  <c r="J155" i="53"/>
  <c r="J240" i="53"/>
  <c r="J176" i="53"/>
  <c r="H234" i="53"/>
  <c r="H167" i="53"/>
  <c r="J239" i="53"/>
  <c r="J175" i="53"/>
  <c r="I200" i="53"/>
  <c r="I133" i="53"/>
  <c r="I225" i="53"/>
  <c r="I158" i="53"/>
  <c r="J265" i="55"/>
  <c r="H152" i="55"/>
  <c r="I197" i="53"/>
  <c r="I130" i="53"/>
  <c r="G82" i="81"/>
  <c r="H39" i="55"/>
  <c r="H96" i="55" s="1"/>
  <c r="G39" i="55"/>
  <c r="G96" i="55" s="1"/>
  <c r="H104" i="81"/>
  <c r="I21" i="53" s="1"/>
  <c r="I74" i="53" s="1"/>
  <c r="H21" i="53"/>
  <c r="H74" i="53" s="1"/>
  <c r="H43" i="53"/>
  <c r="H96" i="53" s="1"/>
  <c r="I43" i="53"/>
  <c r="I96" i="53" s="1"/>
  <c r="H46" i="81"/>
  <c r="H15" i="55" s="1"/>
  <c r="H72" i="55" s="1"/>
  <c r="G15" i="55"/>
  <c r="G72" i="55" s="1"/>
  <c r="H42" i="81"/>
  <c r="H11" i="55" s="1"/>
  <c r="G11" i="55"/>
  <c r="H277" i="55"/>
  <c r="F167" i="55"/>
  <c r="H226" i="55" s="1"/>
  <c r="E229" i="55"/>
  <c r="G182" i="53"/>
  <c r="G245" i="53"/>
  <c r="H106" i="81"/>
  <c r="I23" i="53" s="1"/>
  <c r="I76" i="53" s="1"/>
  <c r="H23" i="53"/>
  <c r="H76" i="53" s="1"/>
  <c r="F50" i="55"/>
  <c r="F107" i="55" s="1"/>
  <c r="F52" i="55"/>
  <c r="F109" i="55" s="1"/>
  <c r="J202" i="53"/>
  <c r="J135" i="53"/>
  <c r="F47" i="55"/>
  <c r="F104" i="55" s="1"/>
  <c r="G54" i="81"/>
  <c r="F23" i="55"/>
  <c r="F80" i="55" s="1"/>
  <c r="H110" i="81"/>
  <c r="I27" i="53" s="1"/>
  <c r="I80" i="53" s="1"/>
  <c r="H27" i="53"/>
  <c r="H80" i="53" s="1"/>
  <c r="I50" i="53"/>
  <c r="I103" i="53" s="1"/>
  <c r="H50" i="53"/>
  <c r="H103" i="53" s="1"/>
  <c r="H59" i="55"/>
  <c r="H116" i="55" s="1"/>
  <c r="G59" i="55"/>
  <c r="G116" i="55" s="1"/>
  <c r="G52" i="81"/>
  <c r="F21" i="55"/>
  <c r="F78" i="55" s="1"/>
  <c r="N36" i="22"/>
  <c r="G253" i="53"/>
  <c r="F259" i="53"/>
  <c r="E33" i="55"/>
  <c r="G59" i="81"/>
  <c r="F28" i="55"/>
  <c r="F85" i="55" s="1"/>
  <c r="G81" i="81"/>
  <c r="H108" i="81"/>
  <c r="I25" i="53" s="1"/>
  <c r="I78" i="53" s="1"/>
  <c r="H25" i="53"/>
  <c r="H78" i="53" s="1"/>
  <c r="H48" i="81"/>
  <c r="H17" i="55" s="1"/>
  <c r="H74" i="55" s="1"/>
  <c r="G17" i="55"/>
  <c r="G74" i="55" s="1"/>
  <c r="H45" i="81"/>
  <c r="H14" i="55" s="1"/>
  <c r="H71" i="55" s="1"/>
  <c r="G14" i="55"/>
  <c r="G71" i="55" s="1"/>
  <c r="I204" i="53"/>
  <c r="I137" i="53"/>
  <c r="G273" i="55"/>
  <c r="E160" i="55"/>
  <c r="G219" i="55" s="1"/>
  <c r="E37" i="61"/>
  <c r="B9" i="21"/>
  <c r="H103" i="81"/>
  <c r="I20" i="53" s="1"/>
  <c r="I73" i="53" s="1"/>
  <c r="H20" i="53"/>
  <c r="H73" i="53" s="1"/>
  <c r="H105" i="81"/>
  <c r="I22" i="53" s="1"/>
  <c r="I75" i="53" s="1"/>
  <c r="H22" i="53"/>
  <c r="H75" i="53" s="1"/>
  <c r="H50" i="81"/>
  <c r="H19" i="55" s="1"/>
  <c r="H76" i="55" s="1"/>
  <c r="G19" i="55"/>
  <c r="G76" i="55" s="1"/>
  <c r="G51" i="81"/>
  <c r="F20" i="55"/>
  <c r="F77" i="55" s="1"/>
  <c r="E120" i="55"/>
  <c r="G233" i="55"/>
  <c r="H67" i="81"/>
  <c r="G251" i="55"/>
  <c r="E138" i="55"/>
  <c r="G196" i="55" s="1"/>
  <c r="E11" i="23"/>
  <c r="G11" i="23" s="1"/>
  <c r="E137" i="55"/>
  <c r="G195" i="55" s="1"/>
  <c r="G250" i="55"/>
  <c r="J201" i="53"/>
  <c r="J134" i="53"/>
  <c r="H43" i="81"/>
  <c r="H12" i="55" s="1"/>
  <c r="H69" i="55" s="1"/>
  <c r="G12" i="55"/>
  <c r="G69" i="55" s="1"/>
  <c r="G184" i="53"/>
  <c r="G247" i="53"/>
  <c r="H112" i="81"/>
  <c r="I29" i="53" s="1"/>
  <c r="I82" i="53" s="1"/>
  <c r="H29" i="53"/>
  <c r="H82" i="53" s="1"/>
  <c r="H53" i="53"/>
  <c r="H106" i="53" s="1"/>
  <c r="I174" i="53" s="1"/>
  <c r="I53" i="53"/>
  <c r="I106" i="53" s="1"/>
  <c r="J242" i="53"/>
  <c r="J178" i="53"/>
  <c r="J224" i="53"/>
  <c r="J157" i="53"/>
  <c r="N56" i="22"/>
  <c r="O53" i="22" s="1"/>
  <c r="H75" i="81"/>
  <c r="H57" i="55"/>
  <c r="H114" i="55" s="1"/>
  <c r="G57" i="55"/>
  <c r="G114" i="55" s="1"/>
  <c r="J264" i="55"/>
  <c r="H151" i="55"/>
  <c r="I45" i="53"/>
  <c r="I98" i="53" s="1"/>
  <c r="H45" i="53"/>
  <c r="H98" i="53" s="1"/>
  <c r="H61" i="81"/>
  <c r="H30" i="55" s="1"/>
  <c r="H87" i="55" s="1"/>
  <c r="G30" i="55"/>
  <c r="G87" i="55" s="1"/>
  <c r="H71" i="81"/>
  <c r="I199" i="53"/>
  <c r="I132" i="53"/>
  <c r="G188" i="53"/>
  <c r="G251" i="53"/>
  <c r="J198" i="53"/>
  <c r="J131" i="53"/>
  <c r="H213" i="53"/>
  <c r="H146" i="53"/>
  <c r="H239" i="55"/>
  <c r="F126" i="55"/>
  <c r="H184" i="55" s="1"/>
  <c r="G116" i="53"/>
  <c r="G115" i="53"/>
  <c r="H216" i="53"/>
  <c r="H149" i="53"/>
  <c r="H207" i="53"/>
  <c r="H140" i="53"/>
  <c r="H74" i="81"/>
  <c r="G244" i="55"/>
  <c r="E131" i="55"/>
  <c r="G189" i="55" s="1"/>
  <c r="N44" i="22"/>
  <c r="I46" i="53"/>
  <c r="I99" i="53" s="1"/>
  <c r="H46" i="53"/>
  <c r="H99" i="53" s="1"/>
  <c r="G77" i="81"/>
  <c r="I239" i="53"/>
  <c r="I175" i="53"/>
  <c r="J200" i="53"/>
  <c r="J133" i="53"/>
  <c r="J225" i="53"/>
  <c r="J158" i="53"/>
  <c r="D10" i="55"/>
  <c r="D65" i="55"/>
  <c r="F200" i="55" s="1"/>
  <c r="I52" i="53"/>
  <c r="I105" i="53" s="1"/>
  <c r="H52" i="53"/>
  <c r="H105" i="53" s="1"/>
  <c r="I173" i="53" s="1"/>
  <c r="H262" i="55"/>
  <c r="F149" i="55"/>
  <c r="H208" i="55" s="1"/>
  <c r="I265" i="55"/>
  <c r="G152" i="55"/>
  <c r="I211" i="55" s="1"/>
  <c r="J197" i="53"/>
  <c r="J130" i="53"/>
  <c r="F125" i="55"/>
  <c r="H183" i="55" s="1"/>
  <c r="H238" i="55"/>
  <c r="H236" i="55"/>
  <c r="F123" i="55"/>
  <c r="H181" i="55" s="1"/>
  <c r="G55" i="81"/>
  <c r="F24" i="55"/>
  <c r="F81" i="55" s="1"/>
  <c r="F124" i="55"/>
  <c r="H182" i="55" s="1"/>
  <c r="H237" i="55"/>
  <c r="F68" i="55"/>
  <c r="H44" i="22"/>
  <c r="H275" i="55"/>
  <c r="F165" i="55"/>
  <c r="H224" i="55" s="1"/>
  <c r="H58" i="55"/>
  <c r="H115" i="55" s="1"/>
  <c r="G58" i="55"/>
  <c r="G115" i="55" s="1"/>
  <c r="H235" i="53"/>
  <c r="H168" i="53"/>
  <c r="G248" i="55"/>
  <c r="E135" i="55"/>
  <c r="G193" i="55" s="1"/>
  <c r="I48" i="53"/>
  <c r="I101" i="53" s="1"/>
  <c r="H48" i="53"/>
  <c r="H101" i="53" s="1"/>
  <c r="G79" i="81"/>
  <c r="G247" i="55"/>
  <c r="E134" i="55"/>
  <c r="G192" i="55" s="1"/>
  <c r="H230" i="53"/>
  <c r="H163" i="53"/>
  <c r="I241" i="53"/>
  <c r="I177" i="53"/>
  <c r="H240" i="55"/>
  <c r="F127" i="55"/>
  <c r="H185" i="55" s="1"/>
  <c r="C123" i="29" l="1"/>
  <c r="C138" i="29"/>
  <c r="C168" i="29"/>
  <c r="C153" i="29"/>
  <c r="D36" i="29"/>
  <c r="F8" i="61"/>
  <c r="G59" i="22"/>
  <c r="H37" i="22"/>
  <c r="F35" i="22"/>
  <c r="E60" i="22"/>
  <c r="F17" i="61"/>
  <c r="M31" i="22"/>
  <c r="M59" i="22" s="1"/>
  <c r="J209" i="55"/>
  <c r="E274" i="53"/>
  <c r="E276" i="53" s="1"/>
  <c r="J172" i="53"/>
  <c r="F260" i="53"/>
  <c r="F262" i="53" s="1"/>
  <c r="G146" i="55"/>
  <c r="I205" i="55" s="1"/>
  <c r="I259" i="55"/>
  <c r="G260" i="53"/>
  <c r="H146" i="55"/>
  <c r="J259" i="55"/>
  <c r="F61" i="55"/>
  <c r="G191" i="53"/>
  <c r="J233" i="53"/>
  <c r="J166" i="53"/>
  <c r="I208" i="53"/>
  <c r="I141" i="53"/>
  <c r="J231" i="53"/>
  <c r="J164" i="53"/>
  <c r="H116" i="53"/>
  <c r="H115" i="53"/>
  <c r="H251" i="53"/>
  <c r="H188" i="53"/>
  <c r="J275" i="55"/>
  <c r="H165" i="55"/>
  <c r="H76" i="81"/>
  <c r="J206" i="53"/>
  <c r="J139" i="53"/>
  <c r="H46" i="55"/>
  <c r="H103" i="55" s="1"/>
  <c r="G46" i="55"/>
  <c r="G103" i="55" s="1"/>
  <c r="J230" i="53"/>
  <c r="J163" i="53"/>
  <c r="I262" i="55"/>
  <c r="G149" i="55"/>
  <c r="I208" i="55" s="1"/>
  <c r="J216" i="53"/>
  <c r="J149" i="53"/>
  <c r="H79" i="81"/>
  <c r="F133" i="55"/>
  <c r="H191" i="55" s="1"/>
  <c r="H246" i="55"/>
  <c r="I115" i="53"/>
  <c r="F282" i="55"/>
  <c r="F283" i="55"/>
  <c r="H77" i="81"/>
  <c r="O41" i="22"/>
  <c r="H246" i="53"/>
  <c r="H183" i="53"/>
  <c r="F37" i="61"/>
  <c r="C9" i="21"/>
  <c r="I252" i="55"/>
  <c r="G139" i="55"/>
  <c r="I197" i="55" s="1"/>
  <c r="J276" i="55"/>
  <c r="H166" i="55"/>
  <c r="I217" i="53"/>
  <c r="I150" i="53"/>
  <c r="G121" i="55"/>
  <c r="I179" i="55" s="1"/>
  <c r="I234" i="55"/>
  <c r="C12" i="23"/>
  <c r="G284" i="55"/>
  <c r="G285" i="55"/>
  <c r="G178" i="55"/>
  <c r="J241" i="55"/>
  <c r="H128" i="55"/>
  <c r="J208" i="53"/>
  <c r="J141" i="53"/>
  <c r="C33" i="29"/>
  <c r="I239" i="55"/>
  <c r="G126" i="55"/>
  <c r="I184" i="55" s="1"/>
  <c r="F137" i="55"/>
  <c r="H195" i="55" s="1"/>
  <c r="H250" i="55"/>
  <c r="N38" i="22"/>
  <c r="O35" i="22" s="1"/>
  <c r="J278" i="55"/>
  <c r="H168" i="55"/>
  <c r="I215" i="53"/>
  <c r="I148" i="53"/>
  <c r="H269" i="55"/>
  <c r="F156" i="55"/>
  <c r="H215" i="55" s="1"/>
  <c r="H274" i="55"/>
  <c r="F161" i="55"/>
  <c r="H220" i="55" s="1"/>
  <c r="I211" i="53"/>
  <c r="I144" i="53"/>
  <c r="H68" i="55"/>
  <c r="I231" i="53"/>
  <c r="I164" i="53"/>
  <c r="J261" i="55"/>
  <c r="H148" i="55"/>
  <c r="H82" i="81"/>
  <c r="H114" i="53"/>
  <c r="H254" i="53"/>
  <c r="H83" i="81"/>
  <c r="H266" i="55"/>
  <c r="F153" i="55"/>
  <c r="I235" i="55"/>
  <c r="G122" i="55"/>
  <c r="I180" i="55" s="1"/>
  <c r="G125" i="55"/>
  <c r="I183" i="55" s="1"/>
  <c r="I238" i="55"/>
  <c r="H245" i="53"/>
  <c r="H182" i="53"/>
  <c r="D290" i="55"/>
  <c r="D292" i="55" s="1"/>
  <c r="J212" i="53"/>
  <c r="J145" i="53"/>
  <c r="H85" i="81"/>
  <c r="H49" i="55"/>
  <c r="H106" i="55" s="1"/>
  <c r="G49" i="55"/>
  <c r="G106" i="55" s="1"/>
  <c r="H48" i="55"/>
  <c r="H105" i="55" s="1"/>
  <c r="G48" i="55"/>
  <c r="G105" i="55" s="1"/>
  <c r="I237" i="53"/>
  <c r="I170" i="53"/>
  <c r="I258" i="55"/>
  <c r="G145" i="55"/>
  <c r="I204" i="55" s="1"/>
  <c r="H248" i="55"/>
  <c r="F135" i="55"/>
  <c r="H193" i="55" s="1"/>
  <c r="H253" i="53"/>
  <c r="H84" i="81"/>
  <c r="J262" i="55"/>
  <c r="H149" i="55"/>
  <c r="H244" i="55"/>
  <c r="F131" i="55"/>
  <c r="H189" i="55" s="1"/>
  <c r="G259" i="53"/>
  <c r="J236" i="53"/>
  <c r="J169" i="53"/>
  <c r="I114" i="53"/>
  <c r="J234" i="53"/>
  <c r="J167" i="53"/>
  <c r="O54" i="22"/>
  <c r="O55" i="22" s="1"/>
  <c r="H123" i="55"/>
  <c r="J236" i="55"/>
  <c r="H54" i="81"/>
  <c r="H23" i="55" s="1"/>
  <c r="H80" i="55" s="1"/>
  <c r="G23" i="55"/>
  <c r="G80" i="55" s="1"/>
  <c r="I261" i="55"/>
  <c r="G148" i="55"/>
  <c r="I207" i="55" s="1"/>
  <c r="H56" i="81"/>
  <c r="H25" i="55" s="1"/>
  <c r="H82" i="55" s="1"/>
  <c r="G25" i="55"/>
  <c r="G82" i="55" s="1"/>
  <c r="N37" i="22"/>
  <c r="I212" i="53"/>
  <c r="I145" i="53"/>
  <c r="H271" i="55"/>
  <c r="F158" i="55"/>
  <c r="H217" i="55" s="1"/>
  <c r="J260" i="55"/>
  <c r="H147" i="55"/>
  <c r="F120" i="55"/>
  <c r="H233" i="55"/>
  <c r="I277" i="55"/>
  <c r="G167" i="55"/>
  <c r="I226" i="55" s="1"/>
  <c r="I41" i="22"/>
  <c r="F33" i="55"/>
  <c r="H55" i="81"/>
  <c r="H24" i="55" s="1"/>
  <c r="H81" i="55" s="1"/>
  <c r="G24" i="55"/>
  <c r="G81" i="55" s="1"/>
  <c r="I119" i="53"/>
  <c r="H247" i="53"/>
  <c r="H184" i="53"/>
  <c r="H139" i="55"/>
  <c r="J252" i="55"/>
  <c r="J210" i="55"/>
  <c r="J217" i="53"/>
  <c r="J150" i="53"/>
  <c r="J234" i="55"/>
  <c r="H121" i="55"/>
  <c r="F129" i="55"/>
  <c r="H187" i="55" s="1"/>
  <c r="H242" i="55"/>
  <c r="I210" i="53"/>
  <c r="I143" i="53"/>
  <c r="H126" i="55"/>
  <c r="J239" i="55"/>
  <c r="H81" i="81"/>
  <c r="H59" i="81"/>
  <c r="H28" i="55" s="1"/>
  <c r="H85" i="55" s="1"/>
  <c r="G28" i="55"/>
  <c r="G85" i="55" s="1"/>
  <c r="H243" i="55"/>
  <c r="F130" i="55"/>
  <c r="H188" i="55" s="1"/>
  <c r="I238" i="53"/>
  <c r="I171" i="53"/>
  <c r="J215" i="53"/>
  <c r="J148" i="53"/>
  <c r="G47" i="55"/>
  <c r="G104" i="55" s="1"/>
  <c r="H47" i="55"/>
  <c r="H104" i="55" s="1"/>
  <c r="H52" i="55"/>
  <c r="H109" i="55" s="1"/>
  <c r="G52" i="55"/>
  <c r="G109" i="55" s="1"/>
  <c r="J211" i="53"/>
  <c r="J144" i="53"/>
  <c r="G124" i="55"/>
  <c r="I182" i="55" s="1"/>
  <c r="I237" i="55"/>
  <c r="I209" i="53"/>
  <c r="I142" i="53"/>
  <c r="J211" i="55"/>
  <c r="H44" i="55"/>
  <c r="H101" i="55" s="1"/>
  <c r="G44" i="55"/>
  <c r="G101" i="55" s="1"/>
  <c r="F229" i="55"/>
  <c r="H122" i="55"/>
  <c r="J235" i="55"/>
  <c r="H267" i="55"/>
  <c r="F154" i="55"/>
  <c r="H213" i="55" s="1"/>
  <c r="M32" i="22"/>
  <c r="J238" i="55"/>
  <c r="H125" i="55"/>
  <c r="H273" i="55"/>
  <c r="F160" i="55"/>
  <c r="H219" i="55" s="1"/>
  <c r="H58" i="81"/>
  <c r="H27" i="55" s="1"/>
  <c r="H84" i="55" s="1"/>
  <c r="G27" i="55"/>
  <c r="G84" i="55" s="1"/>
  <c r="G266" i="55"/>
  <c r="E153" i="55"/>
  <c r="G212" i="55" s="1"/>
  <c r="H62" i="81"/>
  <c r="H31" i="55" s="1"/>
  <c r="H88" i="55" s="1"/>
  <c r="G31" i="55"/>
  <c r="G88" i="55" s="1"/>
  <c r="J237" i="53"/>
  <c r="J170" i="53"/>
  <c r="I257" i="55"/>
  <c r="G144" i="55"/>
  <c r="I203" i="55" s="1"/>
  <c r="J258" i="55"/>
  <c r="H145" i="55"/>
  <c r="H57" i="81"/>
  <c r="H26" i="55" s="1"/>
  <c r="H83" i="55" s="1"/>
  <c r="G26" i="55"/>
  <c r="G83" i="55" s="1"/>
  <c r="I207" i="53"/>
  <c r="I140" i="53"/>
  <c r="H251" i="55"/>
  <c r="F138" i="55"/>
  <c r="H196" i="55" s="1"/>
  <c r="G22" i="55"/>
  <c r="G79" i="55" s="1"/>
  <c r="H53" i="81"/>
  <c r="H22" i="55" s="1"/>
  <c r="H79" i="55" s="1"/>
  <c r="E50" i="61"/>
  <c r="B23" i="21"/>
  <c r="I118" i="53"/>
  <c r="I276" i="55"/>
  <c r="G166" i="55"/>
  <c r="I225" i="55" s="1"/>
  <c r="G128" i="55"/>
  <c r="I186" i="55" s="1"/>
  <c r="I241" i="55"/>
  <c r="J213" i="53"/>
  <c r="J146" i="53"/>
  <c r="I278" i="55"/>
  <c r="G168" i="55"/>
  <c r="I227" i="55" s="1"/>
  <c r="H50" i="55"/>
  <c r="H107" i="55" s="1"/>
  <c r="G50" i="55"/>
  <c r="G107" i="55" s="1"/>
  <c r="G68" i="55"/>
  <c r="H127" i="55"/>
  <c r="J240" i="55"/>
  <c r="I235" i="53"/>
  <c r="I168" i="53"/>
  <c r="H78" i="81"/>
  <c r="H270" i="55"/>
  <c r="F157" i="55"/>
  <c r="H216" i="55" s="1"/>
  <c r="J232" i="53"/>
  <c r="J165" i="53"/>
  <c r="I236" i="53"/>
  <c r="I169" i="53"/>
  <c r="J277" i="55"/>
  <c r="H167" i="55"/>
  <c r="I116" i="53"/>
  <c r="J173" i="53"/>
  <c r="C32" i="29"/>
  <c r="I234" i="53"/>
  <c r="I167" i="53"/>
  <c r="I233" i="53"/>
  <c r="I166" i="53"/>
  <c r="J174" i="53"/>
  <c r="H51" i="81"/>
  <c r="H20" i="55" s="1"/>
  <c r="H77" i="55" s="1"/>
  <c r="G20" i="55"/>
  <c r="G77" i="55" s="1"/>
  <c r="J210" i="53"/>
  <c r="J143" i="53"/>
  <c r="I236" i="55"/>
  <c r="G123" i="55"/>
  <c r="I181" i="55" s="1"/>
  <c r="I213" i="53"/>
  <c r="I146" i="53"/>
  <c r="E10" i="55"/>
  <c r="E65" i="55"/>
  <c r="G200" i="55" s="1"/>
  <c r="H52" i="81"/>
  <c r="H21" i="55" s="1"/>
  <c r="H78" i="55" s="1"/>
  <c r="G21" i="55"/>
  <c r="G78" i="55" s="1"/>
  <c r="J238" i="53"/>
  <c r="J171" i="53"/>
  <c r="F132" i="55"/>
  <c r="H190" i="55" s="1"/>
  <c r="H245" i="55"/>
  <c r="H272" i="55"/>
  <c r="F159" i="55"/>
  <c r="H218" i="55" s="1"/>
  <c r="J237" i="55"/>
  <c r="H124" i="55"/>
  <c r="J209" i="53"/>
  <c r="J142" i="53"/>
  <c r="H119" i="53"/>
  <c r="H118" i="53"/>
  <c r="H250" i="53"/>
  <c r="H187" i="53"/>
  <c r="H45" i="55"/>
  <c r="H102" i="55" s="1"/>
  <c r="G45" i="55"/>
  <c r="G102" i="55" s="1"/>
  <c r="I240" i="55"/>
  <c r="G127" i="55"/>
  <c r="I185" i="55" s="1"/>
  <c r="H247" i="55"/>
  <c r="F134" i="55"/>
  <c r="H192" i="55" s="1"/>
  <c r="J235" i="53"/>
  <c r="J168" i="53"/>
  <c r="I275" i="55"/>
  <c r="G165" i="55"/>
  <c r="I224" i="55" s="1"/>
  <c r="E290" i="55"/>
  <c r="H80" i="81"/>
  <c r="G51" i="55"/>
  <c r="G108" i="55" s="1"/>
  <c r="H51" i="55"/>
  <c r="H108" i="55" s="1"/>
  <c r="F136" i="55"/>
  <c r="H194" i="55" s="1"/>
  <c r="H249" i="55"/>
  <c r="I260" i="55"/>
  <c r="G147" i="55"/>
  <c r="I206" i="55" s="1"/>
  <c r="I206" i="53"/>
  <c r="I139" i="53"/>
  <c r="F140" i="55"/>
  <c r="H198" i="55" s="1"/>
  <c r="H253" i="55"/>
  <c r="H268" i="55"/>
  <c r="F155" i="55"/>
  <c r="H214" i="55" s="1"/>
  <c r="I232" i="53"/>
  <c r="I165" i="53"/>
  <c r="I230" i="53"/>
  <c r="I163" i="53"/>
  <c r="J207" i="53"/>
  <c r="J140" i="53"/>
  <c r="H60" i="81"/>
  <c r="H29" i="55" s="1"/>
  <c r="H86" i="55" s="1"/>
  <c r="G29" i="55"/>
  <c r="G86" i="55" s="1"/>
  <c r="I216" i="53"/>
  <c r="I149" i="53"/>
  <c r="J257" i="55"/>
  <c r="H144" i="55"/>
  <c r="J184" i="55" l="1"/>
  <c r="J182" i="55"/>
  <c r="J197" i="55"/>
  <c r="D153" i="29"/>
  <c r="D123" i="29"/>
  <c r="D138" i="29"/>
  <c r="D168" i="29"/>
  <c r="G8" i="61"/>
  <c r="F57" i="22"/>
  <c r="E14" i="69" s="1"/>
  <c r="E16" i="69" s="1"/>
  <c r="F38" i="22"/>
  <c r="I37" i="22"/>
  <c r="I59" i="22" s="1"/>
  <c r="H59" i="22"/>
  <c r="F50" i="61"/>
  <c r="E36" i="29"/>
  <c r="J203" i="55"/>
  <c r="F274" i="53"/>
  <c r="F276" i="53" s="1"/>
  <c r="J205" i="55"/>
  <c r="J226" i="55"/>
  <c r="J204" i="55"/>
  <c r="F36" i="29"/>
  <c r="H259" i="53"/>
  <c r="J253" i="53"/>
  <c r="H191" i="53"/>
  <c r="G37" i="61"/>
  <c r="D9" i="21"/>
  <c r="G129" i="55"/>
  <c r="I187" i="55" s="1"/>
  <c r="I242" i="55"/>
  <c r="H131" i="55"/>
  <c r="J244" i="55"/>
  <c r="I266" i="55"/>
  <c r="G153" i="55"/>
  <c r="I212" i="55" s="1"/>
  <c r="G137" i="55"/>
  <c r="I195" i="55" s="1"/>
  <c r="I250" i="55"/>
  <c r="G133" i="55"/>
  <c r="I191" i="55" s="1"/>
  <c r="I246" i="55"/>
  <c r="I271" i="55"/>
  <c r="G158" i="55"/>
  <c r="I217" i="55" s="1"/>
  <c r="D32" i="29"/>
  <c r="D12" i="23"/>
  <c r="F12" i="23" s="1"/>
  <c r="D33" i="29"/>
  <c r="I268" i="55"/>
  <c r="G155" i="55"/>
  <c r="I214" i="55" s="1"/>
  <c r="I273" i="55"/>
  <c r="G160" i="55"/>
  <c r="I219" i="55" s="1"/>
  <c r="I250" i="53"/>
  <c r="I187" i="53"/>
  <c r="I243" i="55"/>
  <c r="G130" i="55"/>
  <c r="I188" i="55" s="1"/>
  <c r="J242" i="55"/>
  <c r="H129" i="55"/>
  <c r="J187" i="55" s="1"/>
  <c r="I272" i="55"/>
  <c r="G159" i="55"/>
  <c r="I218" i="55" s="1"/>
  <c r="I244" i="55"/>
  <c r="G131" i="55"/>
  <c r="I189" i="55" s="1"/>
  <c r="N29" i="22"/>
  <c r="M60" i="22"/>
  <c r="J266" i="55"/>
  <c r="H153" i="55"/>
  <c r="I269" i="55"/>
  <c r="G156" i="55"/>
  <c r="I215" i="55" s="1"/>
  <c r="J250" i="55"/>
  <c r="H137" i="55"/>
  <c r="J246" i="55"/>
  <c r="H133" i="55"/>
  <c r="J208" i="55"/>
  <c r="I270" i="55"/>
  <c r="G157" i="55"/>
  <c r="I216" i="55" s="1"/>
  <c r="J271" i="55"/>
  <c r="H158" i="55"/>
  <c r="E289" i="55"/>
  <c r="E292" i="55" s="1"/>
  <c r="H212" i="55"/>
  <c r="J207" i="55"/>
  <c r="H33" i="55"/>
  <c r="G229" i="55"/>
  <c r="J268" i="55"/>
  <c r="H155" i="55"/>
  <c r="J224" i="55"/>
  <c r="G282" i="55"/>
  <c r="G283" i="55"/>
  <c r="G33" i="55"/>
  <c r="O36" i="22"/>
  <c r="O37" i="22" s="1"/>
  <c r="F290" i="55"/>
  <c r="C23" i="21"/>
  <c r="I251" i="55"/>
  <c r="G138" i="55"/>
  <c r="I196" i="55" s="1"/>
  <c r="F289" i="55"/>
  <c r="I267" i="55"/>
  <c r="G154" i="55"/>
  <c r="I213" i="55" s="1"/>
  <c r="I251" i="53"/>
  <c r="I188" i="53"/>
  <c r="H130" i="55"/>
  <c r="J243" i="55"/>
  <c r="J272" i="55"/>
  <c r="H159" i="55"/>
  <c r="I248" i="55"/>
  <c r="G135" i="55"/>
  <c r="I193" i="55" s="1"/>
  <c r="G140" i="55"/>
  <c r="I198" i="55" s="1"/>
  <c r="I253" i="55"/>
  <c r="G136" i="55"/>
  <c r="I194" i="55" s="1"/>
  <c r="I249" i="55"/>
  <c r="J180" i="55"/>
  <c r="I274" i="55"/>
  <c r="G161" i="55"/>
  <c r="I220" i="55" s="1"/>
  <c r="F10" i="55"/>
  <c r="F65" i="55"/>
  <c r="H200" i="55" s="1"/>
  <c r="H284" i="55"/>
  <c r="H285" i="55"/>
  <c r="H178" i="55"/>
  <c r="I247" i="55"/>
  <c r="G134" i="55"/>
  <c r="I192" i="55" s="1"/>
  <c r="G132" i="55"/>
  <c r="I190" i="55" s="1"/>
  <c r="I245" i="55"/>
  <c r="O56" i="22"/>
  <c r="P53" i="22" s="1"/>
  <c r="J245" i="53"/>
  <c r="J182" i="53"/>
  <c r="G262" i="53"/>
  <c r="G61" i="55"/>
  <c r="J270" i="55"/>
  <c r="H157" i="55"/>
  <c r="G17" i="61"/>
  <c r="D302" i="55"/>
  <c r="D305" i="55" s="1"/>
  <c r="I253" i="53"/>
  <c r="I245" i="53"/>
  <c r="I182" i="53"/>
  <c r="J233" i="55"/>
  <c r="H120" i="55"/>
  <c r="J227" i="55"/>
  <c r="J246" i="53"/>
  <c r="J183" i="53"/>
  <c r="I246" i="53"/>
  <c r="I183" i="53"/>
  <c r="J273" i="55"/>
  <c r="H160" i="55"/>
  <c r="J269" i="55"/>
  <c r="H156" i="55"/>
  <c r="H138" i="55"/>
  <c r="J251" i="55"/>
  <c r="J267" i="55"/>
  <c r="H154" i="55"/>
  <c r="J247" i="53"/>
  <c r="J184" i="53"/>
  <c r="J185" i="55"/>
  <c r="G120" i="55"/>
  <c r="I233" i="55"/>
  <c r="J250" i="53"/>
  <c r="J187" i="53"/>
  <c r="H61" i="55"/>
  <c r="H135" i="55"/>
  <c r="J248" i="55"/>
  <c r="J253" i="55"/>
  <c r="H140" i="55"/>
  <c r="J249" i="55"/>
  <c r="H136" i="55"/>
  <c r="J183" i="55"/>
  <c r="J274" i="55"/>
  <c r="H161" i="55"/>
  <c r="J179" i="55"/>
  <c r="J251" i="53"/>
  <c r="J188" i="53"/>
  <c r="I44" i="22"/>
  <c r="J206" i="55"/>
  <c r="H134" i="55"/>
  <c r="J247" i="55"/>
  <c r="H132" i="55"/>
  <c r="J245" i="55"/>
  <c r="J181" i="55"/>
  <c r="J254" i="53"/>
  <c r="J186" i="55"/>
  <c r="J225" i="55"/>
  <c r="O42" i="22"/>
  <c r="O44" i="22" s="1"/>
  <c r="I254" i="53"/>
  <c r="I247" i="53"/>
  <c r="I184" i="53"/>
  <c r="J192" i="55" l="1"/>
  <c r="J193" i="55"/>
  <c r="J194" i="55"/>
  <c r="J188" i="55"/>
  <c r="J196" i="55"/>
  <c r="J191" i="55"/>
  <c r="E168" i="29"/>
  <c r="E153" i="29"/>
  <c r="E123" i="29"/>
  <c r="E138" i="29"/>
  <c r="H17" i="61"/>
  <c r="I8" i="61" s="1"/>
  <c r="G35" i="22"/>
  <c r="F60" i="22"/>
  <c r="J214" i="55"/>
  <c r="J216" i="55"/>
  <c r="F292" i="55"/>
  <c r="F302" i="55" s="1"/>
  <c r="F305" i="55" s="1"/>
  <c r="J220" i="55"/>
  <c r="J212" i="55"/>
  <c r="J191" i="53"/>
  <c r="G36" i="29"/>
  <c r="J260" i="53"/>
  <c r="I191" i="53"/>
  <c r="H260" i="53"/>
  <c r="H262" i="53" s="1"/>
  <c r="J213" i="55"/>
  <c r="E302" i="55"/>
  <c r="E305" i="55" s="1"/>
  <c r="H37" i="61"/>
  <c r="E9" i="21"/>
  <c r="P41" i="22"/>
  <c r="J190" i="55"/>
  <c r="J215" i="55"/>
  <c r="O38" i="22"/>
  <c r="P35" i="22" s="1"/>
  <c r="N30" i="22"/>
  <c r="N57" i="22"/>
  <c r="I259" i="53"/>
  <c r="E32" i="29"/>
  <c r="P54" i="22"/>
  <c r="P55" i="22" s="1"/>
  <c r="G10" i="55"/>
  <c r="G65" i="55"/>
  <c r="I200" i="55" s="1"/>
  <c r="H10" i="55"/>
  <c r="H65" i="55"/>
  <c r="J200" i="55" s="1"/>
  <c r="J195" i="55"/>
  <c r="E12" i="23"/>
  <c r="G12" i="23" s="1"/>
  <c r="J189" i="55"/>
  <c r="E33" i="29"/>
  <c r="O43" i="22"/>
  <c r="J198" i="55"/>
  <c r="I284" i="55"/>
  <c r="I285" i="55"/>
  <c r="I178" i="55"/>
  <c r="J219" i="55"/>
  <c r="J285" i="55"/>
  <c r="J178" i="55"/>
  <c r="J284" i="55"/>
  <c r="H8" i="61"/>
  <c r="G274" i="53"/>
  <c r="G276" i="53" s="1"/>
  <c r="H229" i="55"/>
  <c r="H282" i="55"/>
  <c r="H283" i="55"/>
  <c r="J218" i="55"/>
  <c r="G289" i="55"/>
  <c r="J217" i="55"/>
  <c r="I229" i="55" l="1"/>
  <c r="F168" i="29"/>
  <c r="F153" i="29"/>
  <c r="F123" i="29"/>
  <c r="F138" i="29"/>
  <c r="G57" i="22"/>
  <c r="F14" i="69" s="1"/>
  <c r="F16" i="69" s="1"/>
  <c r="G38" i="22"/>
  <c r="I17" i="61"/>
  <c r="J8" i="61" s="1"/>
  <c r="P56" i="22"/>
  <c r="Q53" i="22" s="1"/>
  <c r="Q54" i="22" s="1"/>
  <c r="I260" i="53"/>
  <c r="I262" i="53" s="1"/>
  <c r="P42" i="22"/>
  <c r="P44" i="22" s="1"/>
  <c r="F33" i="29"/>
  <c r="G50" i="61"/>
  <c r="D23" i="21"/>
  <c r="F32" i="29"/>
  <c r="P36" i="22"/>
  <c r="P37" i="22" s="1"/>
  <c r="H36" i="29"/>
  <c r="C13" i="23"/>
  <c r="J17" i="61"/>
  <c r="H274" i="53"/>
  <c r="H276" i="53" s="1"/>
  <c r="H290" i="55"/>
  <c r="J282" i="55"/>
  <c r="J283" i="55"/>
  <c r="N58" i="22"/>
  <c r="E89" i="22" s="1"/>
  <c r="N31" i="22"/>
  <c r="G290" i="55"/>
  <c r="G292" i="55" s="1"/>
  <c r="J229" i="55"/>
  <c r="I37" i="61"/>
  <c r="F9" i="21"/>
  <c r="I282" i="55"/>
  <c r="I283" i="55"/>
  <c r="N32" i="22"/>
  <c r="J259" i="53"/>
  <c r="J262" i="53" s="1"/>
  <c r="G123" i="29" l="1"/>
  <c r="G138" i="29"/>
  <c r="G168" i="29"/>
  <c r="G153" i="29"/>
  <c r="H35" i="22"/>
  <c r="G60" i="22"/>
  <c r="P43" i="22"/>
  <c r="Q55" i="22"/>
  <c r="Q56" i="22"/>
  <c r="I274" i="53"/>
  <c r="I276" i="53" s="1"/>
  <c r="I36" i="29"/>
  <c r="K8" i="61"/>
  <c r="O29" i="22"/>
  <c r="N60" i="22"/>
  <c r="H9" i="21"/>
  <c r="K37" i="61"/>
  <c r="G302" i="55"/>
  <c r="G305" i="55" s="1"/>
  <c r="I289" i="55"/>
  <c r="G32" i="29"/>
  <c r="K17" i="61"/>
  <c r="G9" i="21"/>
  <c r="J37" i="61"/>
  <c r="H289" i="55"/>
  <c r="H292" i="55" s="1"/>
  <c r="Q41" i="22"/>
  <c r="H32" i="29"/>
  <c r="J274" i="53"/>
  <c r="J276" i="53" s="1"/>
  <c r="I290" i="55"/>
  <c r="G33" i="29"/>
  <c r="N59" i="22"/>
  <c r="J290" i="55"/>
  <c r="D13" i="23"/>
  <c r="F13" i="23" s="1"/>
  <c r="P38" i="22"/>
  <c r="Q35" i="22" s="1"/>
  <c r="E23" i="21" l="1"/>
  <c r="I168" i="29"/>
  <c r="I153" i="29"/>
  <c r="I123" i="29"/>
  <c r="I138" i="29"/>
  <c r="H153" i="29"/>
  <c r="H123" i="29"/>
  <c r="H138" i="29"/>
  <c r="H168" i="29"/>
  <c r="H50" i="61"/>
  <c r="H57" i="22"/>
  <c r="G14" i="69" s="1"/>
  <c r="G16" i="69" s="1"/>
  <c r="H38" i="22"/>
  <c r="J50" i="61"/>
  <c r="I292" i="55"/>
  <c r="H302" i="55"/>
  <c r="H305" i="55" s="1"/>
  <c r="Q42" i="22"/>
  <c r="Q44" i="22" s="1"/>
  <c r="I33" i="29"/>
  <c r="H33" i="29"/>
  <c r="E13" i="23"/>
  <c r="G13" i="23" s="1"/>
  <c r="I32" i="29"/>
  <c r="F23" i="21"/>
  <c r="I50" i="61"/>
  <c r="O30" i="22"/>
  <c r="O32" i="22" s="1"/>
  <c r="O57" i="22"/>
  <c r="Q36" i="22"/>
  <c r="Q37" i="22" s="1"/>
  <c r="J289" i="55"/>
  <c r="J292" i="55" s="1"/>
  <c r="H60" i="22" l="1"/>
  <c r="I35" i="22"/>
  <c r="G23" i="21"/>
  <c r="H23" i="21"/>
  <c r="I302" i="55"/>
  <c r="I305" i="55" s="1"/>
  <c r="J302" i="55"/>
  <c r="J305" i="55" s="1"/>
  <c r="O58" i="22"/>
  <c r="F89" i="22" s="1"/>
  <c r="O31" i="22"/>
  <c r="C14" i="23"/>
  <c r="Q38" i="22"/>
  <c r="P29" i="22"/>
  <c r="O60" i="22"/>
  <c r="Q43" i="22"/>
  <c r="K50" i="61" l="1"/>
  <c r="I57" i="22"/>
  <c r="H14" i="69" s="1"/>
  <c r="H16" i="69" s="1"/>
  <c r="I38" i="22"/>
  <c r="I60" i="22" s="1"/>
  <c r="D14" i="23"/>
  <c r="F14" i="23" s="1"/>
  <c r="P30" i="22"/>
  <c r="P58" i="22" s="1"/>
  <c r="G89" i="22" s="1"/>
  <c r="P57" i="22"/>
  <c r="O59" i="22"/>
  <c r="P31" i="22" l="1"/>
  <c r="P59" i="22" s="1"/>
  <c r="E14" i="23"/>
  <c r="G14" i="23" s="1"/>
  <c r="P32" i="22"/>
  <c r="Q29" i="22" l="1"/>
  <c r="P60" i="22"/>
  <c r="C15" i="23"/>
  <c r="D15" i="23" l="1"/>
  <c r="Q30" i="22"/>
  <c r="Q57" i="22"/>
  <c r="F15" i="23" l="1"/>
  <c r="E15" i="23" s="1"/>
  <c r="G15" i="23" s="1"/>
  <c r="C16" i="23" s="1"/>
  <c r="D16" i="23" s="1"/>
  <c r="E16" i="23" s="1"/>
  <c r="G16" i="23" s="1"/>
  <c r="C17" i="23" s="1"/>
  <c r="Q58" i="22"/>
  <c r="H89" i="22" s="1"/>
  <c r="Q31" i="22"/>
  <c r="Q59" i="22" s="1"/>
  <c r="Q32" i="22"/>
  <c r="Q60" i="22" s="1"/>
  <c r="D17" i="23" l="1"/>
  <c r="E17" i="23" l="1"/>
  <c r="G17" i="23" s="1"/>
  <c r="C18" i="23" s="1"/>
  <c r="D18" i="23" s="1"/>
  <c r="E18" i="23" l="1"/>
  <c r="G18" i="23" s="1"/>
  <c r="C19" i="23" s="1"/>
  <c r="D19" i="23" s="1"/>
  <c r="E19" i="23" l="1"/>
  <c r="G19" i="23" s="1"/>
  <c r="C20" i="23" s="1"/>
  <c r="D20" i="23" s="1"/>
  <c r="E20" i="23" l="1"/>
  <c r="G20" i="23" s="1"/>
  <c r="C21" i="23" s="1"/>
  <c r="D21" i="23" s="1"/>
  <c r="B51" i="21" s="1"/>
  <c r="E21" i="23" l="1"/>
  <c r="C28" i="68"/>
  <c r="C109" i="29" l="1"/>
  <c r="C27" i="68"/>
  <c r="G21" i="23"/>
  <c r="B29" i="69" l="1"/>
  <c r="K29" i="69" s="1"/>
  <c r="C22" i="23"/>
  <c r="C112" i="29"/>
  <c r="D22" i="23" l="1"/>
  <c r="E22" i="23" l="1"/>
  <c r="G22" i="23" l="1"/>
  <c r="C23" i="23" s="1"/>
  <c r="D23" i="23" l="1"/>
  <c r="E23" i="23" l="1"/>
  <c r="G23" i="23" l="1"/>
  <c r="C24" i="23" s="1"/>
  <c r="D24" i="23" l="1"/>
  <c r="E24" i="23" l="1"/>
  <c r="G24" i="23" l="1"/>
  <c r="C25" i="23" s="1"/>
  <c r="D25" i="23" l="1"/>
  <c r="E25" i="23" l="1"/>
  <c r="G25" i="23" l="1"/>
  <c r="C26" i="23" s="1"/>
  <c r="D26" i="23" l="1"/>
  <c r="E26" i="23" l="1"/>
  <c r="G26" i="23" l="1"/>
  <c r="C27" i="23" s="1"/>
  <c r="D27" i="23" l="1"/>
  <c r="E27" i="23" l="1"/>
  <c r="G27" i="23" s="1"/>
  <c r="C28" i="23" s="1"/>
  <c r="D28" i="23" s="1"/>
  <c r="E28" i="23" l="1"/>
  <c r="G28" i="23" s="1"/>
  <c r="C29" i="23" s="1"/>
  <c r="D29" i="23" s="1"/>
  <c r="E29" i="23" l="1"/>
  <c r="G29" i="23" s="1"/>
  <c r="C30" i="23" s="1"/>
  <c r="D30" i="23" s="1"/>
  <c r="E30" i="23" l="1"/>
  <c r="G30" i="23" s="1"/>
  <c r="C31" i="23" s="1"/>
  <c r="D31" i="23" s="1"/>
  <c r="E31" i="23" l="1"/>
  <c r="G31" i="23" s="1"/>
  <c r="C32" i="23" s="1"/>
  <c r="D32" i="23" s="1"/>
  <c r="E32" i="23" l="1"/>
  <c r="G32" i="23" s="1"/>
  <c r="C33" i="23" s="1"/>
  <c r="D33" i="23" s="1"/>
  <c r="C51" i="21" s="1"/>
  <c r="E33" i="23" l="1"/>
  <c r="D28" i="68"/>
  <c r="D109" i="29" l="1"/>
  <c r="D27" i="68"/>
  <c r="G33" i="23"/>
  <c r="C34" i="23" l="1"/>
  <c r="C29" i="69"/>
  <c r="D112" i="29"/>
  <c r="D34" i="23" l="1"/>
  <c r="E34" i="23" l="1"/>
  <c r="G34" i="23" l="1"/>
  <c r="C35" i="23" s="1"/>
  <c r="D35" i="23" l="1"/>
  <c r="E35" i="23" l="1"/>
  <c r="G35" i="23" l="1"/>
  <c r="C36" i="23" s="1"/>
  <c r="D36" i="23" l="1"/>
  <c r="E36" i="23" l="1"/>
  <c r="G36" i="23" l="1"/>
  <c r="C37" i="23" s="1"/>
  <c r="D37" i="23" l="1"/>
  <c r="E37" i="23" l="1"/>
  <c r="G37" i="23" l="1"/>
  <c r="C38" i="23" s="1"/>
  <c r="D38" i="23" l="1"/>
  <c r="E38" i="23" l="1"/>
  <c r="G38" i="23" l="1"/>
  <c r="C39" i="23" s="1"/>
  <c r="D39" i="23" l="1"/>
  <c r="E39" i="23" l="1"/>
  <c r="G39" i="23" s="1"/>
  <c r="C40" i="23" s="1"/>
  <c r="D40" i="23" s="1"/>
  <c r="E40" i="23" l="1"/>
  <c r="G40" i="23" s="1"/>
  <c r="C41" i="23" s="1"/>
  <c r="D41" i="23" s="1"/>
  <c r="E41" i="23" l="1"/>
  <c r="G41" i="23" s="1"/>
  <c r="C42" i="23" s="1"/>
  <c r="D42" i="23" s="1"/>
  <c r="E42" i="23" l="1"/>
  <c r="G42" i="23" s="1"/>
  <c r="C43" i="23" s="1"/>
  <c r="D43" i="23" s="1"/>
  <c r="E43" i="23" l="1"/>
  <c r="G43" i="23" s="1"/>
  <c r="C44" i="23" s="1"/>
  <c r="D44" i="23" s="1"/>
  <c r="E44" i="23" l="1"/>
  <c r="G44" i="23" s="1"/>
  <c r="C45" i="23" s="1"/>
  <c r="D45" i="23" s="1"/>
  <c r="D51" i="21" s="1"/>
  <c r="E45" i="23" l="1"/>
  <c r="E28" i="68"/>
  <c r="E109" i="29" l="1"/>
  <c r="E27" i="68"/>
  <c r="G45" i="23"/>
  <c r="C46" i="23" s="1"/>
  <c r="D46" i="23" s="1"/>
  <c r="E46" i="23" s="1"/>
  <c r="G46" i="23" s="1"/>
  <c r="C47" i="23" s="1"/>
  <c r="D47" i="23" s="1"/>
  <c r="E47" i="23" s="1"/>
  <c r="G47" i="23" s="1"/>
  <c r="C48" i="23" s="1"/>
  <c r="D48" i="23" s="1"/>
  <c r="E48" i="23" s="1"/>
  <c r="G48" i="23" s="1"/>
  <c r="C49" i="23" s="1"/>
  <c r="D49" i="23" l="1"/>
  <c r="E49" i="23" s="1"/>
  <c r="G49" i="23" s="1"/>
  <c r="C50" i="23" s="1"/>
  <c r="D50" i="23" s="1"/>
  <c r="E50" i="23" s="1"/>
  <c r="G50" i="23" s="1"/>
  <c r="C51" i="23" s="1"/>
  <c r="D51" i="23" s="1"/>
  <c r="E51" i="23" s="1"/>
  <c r="G51" i="23" s="1"/>
  <c r="C52" i="23" s="1"/>
  <c r="D52" i="23" s="1"/>
  <c r="E52" i="23" s="1"/>
  <c r="G52" i="23" s="1"/>
  <c r="C53" i="23" s="1"/>
  <c r="E112" i="29"/>
  <c r="D29" i="69"/>
  <c r="D53" i="23" l="1"/>
  <c r="E53" i="23" s="1"/>
  <c r="G53" i="23" s="1"/>
  <c r="C54" i="23" s="1"/>
  <c r="D54" i="23" s="1"/>
  <c r="E54" i="23" s="1"/>
  <c r="G54" i="23" s="1"/>
  <c r="C55" i="23" s="1"/>
  <c r="D55" i="23" s="1"/>
  <c r="E55" i="23" s="1"/>
  <c r="G55" i="23" s="1"/>
  <c r="C56" i="23" s="1"/>
  <c r="D56" i="23" s="1"/>
  <c r="E56" i="23" s="1"/>
  <c r="G56" i="23" s="1"/>
  <c r="C57" i="23" s="1"/>
  <c r="F51" i="21"/>
  <c r="D57" i="23" l="1"/>
  <c r="E57" i="23" s="1"/>
  <c r="G57" i="23" s="1"/>
  <c r="G28" i="68"/>
  <c r="G109" i="29" l="1"/>
  <c r="G27" i="68"/>
  <c r="G112" i="29" s="1"/>
  <c r="F29" i="69" l="1"/>
  <c r="G51" i="21" l="1"/>
  <c r="H28" i="68" l="1"/>
  <c r="E51" i="21" l="1"/>
  <c r="F28" i="68"/>
  <c r="F109" i="29" s="1"/>
  <c r="H109" i="29"/>
  <c r="H27" i="68"/>
  <c r="F27" i="68" l="1"/>
  <c r="F112" i="29" s="1"/>
  <c r="E29" i="69"/>
  <c r="H112" i="29"/>
  <c r="G29" i="69"/>
  <c r="H51" i="21" l="1"/>
  <c r="D94" i="23" l="1"/>
  <c r="I28" i="68"/>
  <c r="I109" i="29" l="1"/>
  <c r="E94" i="23"/>
  <c r="I27" i="68"/>
  <c r="I112" i="29" l="1"/>
  <c r="B50" i="84" l="1"/>
  <c r="C161" i="84" l="1"/>
  <c r="D161" i="84" l="1"/>
  <c r="E161" i="84" l="1"/>
  <c r="F161" i="84" l="1"/>
  <c r="G161" i="84" l="1"/>
  <c r="H161" i="84" l="1"/>
  <c r="I161" i="84" l="1"/>
  <c r="C9" i="61" l="1"/>
  <c r="B15" i="21"/>
  <c r="D15" i="21"/>
  <c r="F15" i="21"/>
  <c r="G15" i="21"/>
  <c r="E15" i="21"/>
  <c r="H15" i="21"/>
  <c r="C15" i="21"/>
  <c r="E32" i="84"/>
  <c r="F32" i="84"/>
  <c r="C32" i="84"/>
  <c r="D32" i="84"/>
  <c r="G32" i="84"/>
  <c r="H32" i="84"/>
  <c r="B32" i="84"/>
  <c r="H69" i="81" l="1"/>
  <c r="X32" i="84"/>
  <c r="G69" i="81"/>
  <c r="W32" i="84"/>
  <c r="D69" i="81"/>
  <c r="T32" i="84"/>
  <c r="V32" i="84"/>
  <c r="F69" i="81"/>
  <c r="C69" i="81"/>
  <c r="S32" i="84"/>
  <c r="E69" i="81"/>
  <c r="U32" i="84"/>
  <c r="B39" i="83"/>
  <c r="B69" i="81"/>
  <c r="R32" i="84"/>
  <c r="C68" i="84"/>
  <c r="C69" i="84" s="1"/>
  <c r="H293" i="84"/>
  <c r="D293" i="84"/>
  <c r="F293" i="84"/>
  <c r="G293" i="84"/>
  <c r="E293" i="84"/>
  <c r="C293" i="84"/>
  <c r="B37" i="84"/>
  <c r="D100" i="84" s="1"/>
  <c r="B42" i="84"/>
  <c r="C191" i="84" s="1"/>
  <c r="B43" i="84"/>
  <c r="C197" i="84" s="1"/>
  <c r="B41" i="84"/>
  <c r="C185" i="84" s="1"/>
  <c r="B68" i="84"/>
  <c r="B293" i="84"/>
  <c r="B40" i="84"/>
  <c r="I23" i="84" s="1"/>
  <c r="H43" i="84"/>
  <c r="I197" i="84" s="1"/>
  <c r="H37" i="84"/>
  <c r="J100" i="84" s="1"/>
  <c r="H41" i="84"/>
  <c r="I185" i="84" s="1"/>
  <c r="H40" i="84"/>
  <c r="H42" i="84"/>
  <c r="I191" i="84" s="1"/>
  <c r="G42" i="84"/>
  <c r="H191" i="84" s="1"/>
  <c r="G41" i="84"/>
  <c r="H185" i="84" s="1"/>
  <c r="G37" i="84"/>
  <c r="I100" i="84" s="1"/>
  <c r="G43" i="84"/>
  <c r="H197" i="84" s="1"/>
  <c r="G40" i="84"/>
  <c r="N23" i="84" s="1"/>
  <c r="G68" i="84"/>
  <c r="G294" i="84" s="1"/>
  <c r="H68" i="84"/>
  <c r="D37" i="84"/>
  <c r="F100" i="84" s="1"/>
  <c r="D41" i="84"/>
  <c r="E185" i="84" s="1"/>
  <c r="D42" i="84"/>
  <c r="E191" i="84" s="1"/>
  <c r="D43" i="84"/>
  <c r="E197" i="84" s="1"/>
  <c r="D40" i="84"/>
  <c r="K23" i="84" s="1"/>
  <c r="D68" i="84"/>
  <c r="C42" i="84"/>
  <c r="D191" i="84" s="1"/>
  <c r="C43" i="84"/>
  <c r="D197" i="84" s="1"/>
  <c r="C37" i="84"/>
  <c r="E100" i="84" s="1"/>
  <c r="C41" i="84"/>
  <c r="D185" i="84" s="1"/>
  <c r="C40" i="84"/>
  <c r="J23" i="84" s="1"/>
  <c r="F43" i="84"/>
  <c r="G197" i="84" s="1"/>
  <c r="F37" i="84"/>
  <c r="H100" i="84" s="1"/>
  <c r="F41" i="84"/>
  <c r="G185" i="84" s="1"/>
  <c r="F40" i="84"/>
  <c r="M23" i="84" s="1"/>
  <c r="F42" i="84"/>
  <c r="G191" i="84" s="1"/>
  <c r="F68" i="84"/>
  <c r="E42" i="84"/>
  <c r="F191" i="84" s="1"/>
  <c r="E41" i="84"/>
  <c r="F185" i="84" s="1"/>
  <c r="E37" i="84"/>
  <c r="G100" i="84" s="1"/>
  <c r="E43" i="84"/>
  <c r="F197" i="84" s="1"/>
  <c r="E40" i="84"/>
  <c r="L23" i="84" s="1"/>
  <c r="E68" i="84"/>
  <c r="C343" i="84" l="1"/>
  <c r="C331" i="84"/>
  <c r="C307" i="84"/>
  <c r="C319" i="84"/>
  <c r="D294" i="84"/>
  <c r="D292" i="84" s="1"/>
  <c r="D258" i="84" s="1"/>
  <c r="D261" i="84" s="1"/>
  <c r="C294" i="84"/>
  <c r="C301" i="84"/>
  <c r="D300" i="84" s="1"/>
  <c r="D291" i="84"/>
  <c r="C349" i="84"/>
  <c r="D348" i="84" s="1"/>
  <c r="D340" i="84"/>
  <c r="B294" i="84"/>
  <c r="B292" i="84" s="1"/>
  <c r="B258" i="84" s="1"/>
  <c r="B261" i="84" s="1"/>
  <c r="D328" i="84"/>
  <c r="C337" i="84"/>
  <c r="E331" i="84"/>
  <c r="E319" i="84"/>
  <c r="E307" i="84"/>
  <c r="E343" i="84"/>
  <c r="E69" i="84"/>
  <c r="F343" i="84"/>
  <c r="F307" i="84"/>
  <c r="F331" i="84"/>
  <c r="F319" i="84"/>
  <c r="F69" i="84"/>
  <c r="D246" i="84"/>
  <c r="D247" i="84" s="1"/>
  <c r="D249" i="84" s="1"/>
  <c r="D251" i="84" s="1"/>
  <c r="E177" i="84"/>
  <c r="H177" i="84"/>
  <c r="G246" i="84"/>
  <c r="G247" i="84" s="1"/>
  <c r="G249" i="84" s="1"/>
  <c r="G251" i="84" s="1"/>
  <c r="B246" i="84"/>
  <c r="B247" i="84" s="1"/>
  <c r="B249" i="84" s="1"/>
  <c r="B251" i="84" s="1"/>
  <c r="C177" i="84"/>
  <c r="C199" i="84"/>
  <c r="C313" i="84"/>
  <c r="D312" i="84" s="1"/>
  <c r="D304" i="84"/>
  <c r="H291" i="84"/>
  <c r="G301" i="84"/>
  <c r="H300" i="84" s="1"/>
  <c r="C246" i="84"/>
  <c r="C247" i="84" s="1"/>
  <c r="C249" i="84" s="1"/>
  <c r="C251" i="84" s="1"/>
  <c r="D177" i="84"/>
  <c r="F294" i="84"/>
  <c r="I177" i="84"/>
  <c r="H246" i="84"/>
  <c r="H247" i="84" s="1"/>
  <c r="H249" i="84" s="1"/>
  <c r="H251" i="84" s="1"/>
  <c r="B307" i="84"/>
  <c r="B343" i="84"/>
  <c r="B319" i="84"/>
  <c r="B331" i="84"/>
  <c r="B69" i="84"/>
  <c r="F177" i="84"/>
  <c r="E246" i="84"/>
  <c r="E247" i="84" s="1"/>
  <c r="E249" i="84" s="1"/>
  <c r="E251" i="84" s="1"/>
  <c r="H343" i="84"/>
  <c r="H319" i="84"/>
  <c r="H331" i="84"/>
  <c r="H307" i="84"/>
  <c r="H69" i="84"/>
  <c r="C193" i="84"/>
  <c r="C192" i="84" s="1"/>
  <c r="C147" i="84" s="1"/>
  <c r="C149" i="84" s="1"/>
  <c r="G177" i="84"/>
  <c r="F246" i="84"/>
  <c r="F247" i="84" s="1"/>
  <c r="F249" i="84" s="1"/>
  <c r="F251" i="84" s="1"/>
  <c r="E96" i="84"/>
  <c r="E98" i="84"/>
  <c r="E101" i="84"/>
  <c r="E97" i="84"/>
  <c r="E103" i="84"/>
  <c r="D359" i="84"/>
  <c r="C325" i="84"/>
  <c r="D324" i="84" s="1"/>
  <c r="D316" i="84"/>
  <c r="H294" i="84"/>
  <c r="D319" i="84"/>
  <c r="D307" i="84"/>
  <c r="D331" i="84"/>
  <c r="D343" i="84"/>
  <c r="D69" i="84"/>
  <c r="G343" i="84"/>
  <c r="G331" i="84"/>
  <c r="G307" i="84"/>
  <c r="G319" i="84"/>
  <c r="G69" i="84"/>
  <c r="E294" i="84"/>
  <c r="C187" i="84"/>
  <c r="E291" i="84" l="1"/>
  <c r="D301" i="84"/>
  <c r="E300" i="84" s="1"/>
  <c r="E301" i="84"/>
  <c r="F300" i="84" s="1"/>
  <c r="F291" i="84"/>
  <c r="E292" i="84"/>
  <c r="E258" i="84" s="1"/>
  <c r="E261" i="84" s="1"/>
  <c r="H328" i="84"/>
  <c r="H329" i="84" s="1"/>
  <c r="H273" i="84" s="1"/>
  <c r="H276" i="84" s="1"/>
  <c r="G337" i="84"/>
  <c r="E328" i="84"/>
  <c r="E329" i="84" s="1"/>
  <c r="E273" i="84" s="1"/>
  <c r="E276" i="84" s="1"/>
  <c r="D337" i="84"/>
  <c r="D329" i="84"/>
  <c r="D273" i="84" s="1"/>
  <c r="D276" i="84" s="1"/>
  <c r="D101" i="84"/>
  <c r="D97" i="84"/>
  <c r="D103" i="84"/>
  <c r="D98" i="84"/>
  <c r="D96" i="84"/>
  <c r="C359" i="84"/>
  <c r="C304" i="84"/>
  <c r="C305" i="84" s="1"/>
  <c r="C263" i="84" s="1"/>
  <c r="C266" i="84" s="1"/>
  <c r="B305" i="84"/>
  <c r="B263" i="84" s="1"/>
  <c r="B266" i="84" s="1"/>
  <c r="B313" i="84"/>
  <c r="C312" i="84" s="1"/>
  <c r="C222" i="84"/>
  <c r="D221" i="84" s="1"/>
  <c r="D196" i="84"/>
  <c r="I98" i="84"/>
  <c r="I103" i="84"/>
  <c r="I96" i="84"/>
  <c r="I97" i="84"/>
  <c r="I101" i="84"/>
  <c r="H359" i="84"/>
  <c r="H340" i="84"/>
  <c r="H341" i="84" s="1"/>
  <c r="H278" i="84" s="1"/>
  <c r="H281" i="84" s="1"/>
  <c r="G349" i="84"/>
  <c r="H348" i="84" s="1"/>
  <c r="D305" i="84"/>
  <c r="D263" i="84" s="1"/>
  <c r="D266" i="84" s="1"/>
  <c r="D313" i="84"/>
  <c r="E312" i="84" s="1"/>
  <c r="E304" i="84"/>
  <c r="E305" i="84" s="1"/>
  <c r="E263" i="84" s="1"/>
  <c r="E266" i="84" s="1"/>
  <c r="J97" i="84"/>
  <c r="J98" i="84"/>
  <c r="J96" i="84"/>
  <c r="J101" i="84"/>
  <c r="J103" i="84"/>
  <c r="I359" i="84"/>
  <c r="H349" i="84"/>
  <c r="C328" i="84"/>
  <c r="C329" i="84" s="1"/>
  <c r="C273" i="84" s="1"/>
  <c r="C276" i="84" s="1"/>
  <c r="B337" i="84"/>
  <c r="B329" i="84"/>
  <c r="B273" i="84" s="1"/>
  <c r="B276" i="84" s="1"/>
  <c r="C198" i="84"/>
  <c r="C151" i="84" s="1"/>
  <c r="C153" i="84" s="1"/>
  <c r="G316" i="84"/>
  <c r="G317" i="84" s="1"/>
  <c r="G268" i="84" s="1"/>
  <c r="G271" i="84" s="1"/>
  <c r="F325" i="84"/>
  <c r="G324" i="84" s="1"/>
  <c r="G97" i="84"/>
  <c r="G103" i="84"/>
  <c r="G96" i="84"/>
  <c r="G98" i="84"/>
  <c r="G101" i="84"/>
  <c r="F359" i="84"/>
  <c r="E337" i="84"/>
  <c r="F328" i="84"/>
  <c r="F329" i="84" s="1"/>
  <c r="F273" i="84" s="1"/>
  <c r="F276" i="84" s="1"/>
  <c r="C214" i="84"/>
  <c r="D213" i="84" s="1"/>
  <c r="D184" i="84"/>
  <c r="D317" i="84"/>
  <c r="D268" i="84" s="1"/>
  <c r="D271" i="84" s="1"/>
  <c r="D325" i="84"/>
  <c r="E324" i="84" s="1"/>
  <c r="E316" i="84"/>
  <c r="E317" i="84" s="1"/>
  <c r="E268" i="84" s="1"/>
  <c r="E271" i="84" s="1"/>
  <c r="H313" i="84"/>
  <c r="C179" i="84"/>
  <c r="C178" i="84" s="1"/>
  <c r="C139" i="84" s="1"/>
  <c r="G328" i="84"/>
  <c r="G329" i="84" s="1"/>
  <c r="G273" i="84" s="1"/>
  <c r="G276" i="84" s="1"/>
  <c r="F337" i="84"/>
  <c r="F340" i="84"/>
  <c r="E349" i="84"/>
  <c r="F348" i="84" s="1"/>
  <c r="C352" i="84"/>
  <c r="D336" i="84"/>
  <c r="B301" i="84"/>
  <c r="C300" i="84" s="1"/>
  <c r="C291" i="84"/>
  <c r="C292" i="84" s="1"/>
  <c r="C258" i="84" s="1"/>
  <c r="C261" i="84" s="1"/>
  <c r="H316" i="84"/>
  <c r="H317" i="84" s="1"/>
  <c r="H268" i="84" s="1"/>
  <c r="H271" i="84" s="1"/>
  <c r="G325" i="84"/>
  <c r="H324" i="84" s="1"/>
  <c r="F98" i="84"/>
  <c r="F97" i="84"/>
  <c r="F101" i="84"/>
  <c r="F96" i="84"/>
  <c r="F103" i="84"/>
  <c r="E359" i="84"/>
  <c r="B325" i="84"/>
  <c r="C324" i="84" s="1"/>
  <c r="C316" i="84"/>
  <c r="C317" i="84" s="1"/>
  <c r="C268" i="84" s="1"/>
  <c r="C271" i="84" s="1"/>
  <c r="B317" i="84"/>
  <c r="B268" i="84" s="1"/>
  <c r="B271" i="84" s="1"/>
  <c r="C186" i="84"/>
  <c r="C143" i="84" s="1"/>
  <c r="C145" i="84" s="1"/>
  <c r="G313" i="84"/>
  <c r="H312" i="84" s="1"/>
  <c r="H304" i="84"/>
  <c r="H305" i="84" s="1"/>
  <c r="H263" i="84" s="1"/>
  <c r="H266" i="84" s="1"/>
  <c r="D341" i="84"/>
  <c r="D278" i="84" s="1"/>
  <c r="D281" i="84" s="1"/>
  <c r="D349" i="84"/>
  <c r="E348" i="84" s="1"/>
  <c r="E340" i="84"/>
  <c r="E341" i="84" s="1"/>
  <c r="E278" i="84" s="1"/>
  <c r="E281" i="84" s="1"/>
  <c r="H301" i="84"/>
  <c r="H292" i="84"/>
  <c r="H258" i="84" s="1"/>
  <c r="H261" i="84" s="1"/>
  <c r="D364" i="84"/>
  <c r="D366" i="84" s="1"/>
  <c r="D361" i="84"/>
  <c r="C218" i="84"/>
  <c r="D217" i="84" s="1"/>
  <c r="D190" i="84"/>
  <c r="H337" i="84"/>
  <c r="C340" i="84"/>
  <c r="C341" i="84" s="1"/>
  <c r="C278" i="84" s="1"/>
  <c r="C281" i="84" s="1"/>
  <c r="B349" i="84"/>
  <c r="C348" i="84" s="1"/>
  <c r="B341" i="84"/>
  <c r="B278" i="84" s="1"/>
  <c r="B281" i="84" s="1"/>
  <c r="G304" i="84"/>
  <c r="G305" i="84" s="1"/>
  <c r="G263" i="84" s="1"/>
  <c r="G266" i="84" s="1"/>
  <c r="F313" i="84"/>
  <c r="G312" i="84" s="1"/>
  <c r="E313" i="84"/>
  <c r="F312" i="84" s="1"/>
  <c r="F304" i="84"/>
  <c r="F305" i="84" s="1"/>
  <c r="F263" i="84" s="1"/>
  <c r="F266" i="84" s="1"/>
  <c r="H325" i="84"/>
  <c r="F301" i="84"/>
  <c r="G300" i="84" s="1"/>
  <c r="G291" i="84"/>
  <c r="G292" i="84" s="1"/>
  <c r="G258" i="84" s="1"/>
  <c r="G261" i="84" s="1"/>
  <c r="F292" i="84"/>
  <c r="F258" i="84" s="1"/>
  <c r="F261" i="84" s="1"/>
  <c r="H98" i="84"/>
  <c r="H103" i="84"/>
  <c r="H96" i="84"/>
  <c r="H101" i="84"/>
  <c r="H97" i="84"/>
  <c r="G359" i="84"/>
  <c r="G340" i="84"/>
  <c r="G341" i="84" s="1"/>
  <c r="G278" i="84" s="1"/>
  <c r="G281" i="84" s="1"/>
  <c r="F341" i="84"/>
  <c r="F278" i="84" s="1"/>
  <c r="F281" i="84" s="1"/>
  <c r="F349" i="84"/>
  <c r="G348" i="84" s="1"/>
  <c r="F316" i="84"/>
  <c r="F317" i="84" s="1"/>
  <c r="F268" i="84" s="1"/>
  <c r="F271" i="84" s="1"/>
  <c r="E325" i="84"/>
  <c r="F324" i="84" s="1"/>
  <c r="C39" i="83" l="1"/>
  <c r="D283" i="84"/>
  <c r="F95" i="84" s="1"/>
  <c r="B283" i="84"/>
  <c r="D95" i="84" s="1"/>
  <c r="G364" i="84"/>
  <c r="G366" i="84" s="1"/>
  <c r="G361" i="84"/>
  <c r="H352" i="84"/>
  <c r="J107" i="84" s="1"/>
  <c r="D368" i="84"/>
  <c r="E85" i="84" s="1"/>
  <c r="D187" i="84"/>
  <c r="F336" i="84"/>
  <c r="E352" i="84"/>
  <c r="C361" i="84"/>
  <c r="C364" i="84"/>
  <c r="C366" i="84" s="1"/>
  <c r="E283" i="84"/>
  <c r="G95" i="84" s="1"/>
  <c r="D102" i="84"/>
  <c r="C141" i="84"/>
  <c r="C170" i="84" s="1"/>
  <c r="D82" i="84" s="1"/>
  <c r="F364" i="84"/>
  <c r="F366" i="84" s="1"/>
  <c r="F361" i="84"/>
  <c r="C336" i="84"/>
  <c r="B352" i="84"/>
  <c r="I364" i="84"/>
  <c r="I366" i="84" s="1"/>
  <c r="I361" i="84"/>
  <c r="H364" i="84"/>
  <c r="H366" i="84" s="1"/>
  <c r="H361" i="84"/>
  <c r="F283" i="84"/>
  <c r="H95" i="84" s="1"/>
  <c r="D193" i="84"/>
  <c r="D192" i="84" s="1"/>
  <c r="D147" i="84" s="1"/>
  <c r="D149" i="84" s="1"/>
  <c r="H283" i="84"/>
  <c r="J95" i="84" s="1"/>
  <c r="E364" i="84"/>
  <c r="E366" i="84" s="1"/>
  <c r="E361" i="84"/>
  <c r="D351" i="84"/>
  <c r="F106" i="84" s="1"/>
  <c r="E107" i="84"/>
  <c r="F352" i="84"/>
  <c r="G336" i="84"/>
  <c r="C210" i="84"/>
  <c r="D176" i="84"/>
  <c r="H336" i="84"/>
  <c r="G352" i="84"/>
  <c r="G283" i="84"/>
  <c r="I95" i="84" s="1"/>
  <c r="C283" i="84"/>
  <c r="E95" i="84" s="1"/>
  <c r="D199" i="84"/>
  <c r="D198" i="84" s="1"/>
  <c r="D151" i="84" s="1"/>
  <c r="D153" i="84" s="1"/>
  <c r="E336" i="84"/>
  <c r="D352" i="84"/>
  <c r="D39" i="83" l="1"/>
  <c r="E52" i="61"/>
  <c r="E54" i="61" s="1"/>
  <c r="B26" i="69" s="1"/>
  <c r="K26" i="69" s="1"/>
  <c r="E368" i="84"/>
  <c r="F85" i="84" s="1"/>
  <c r="I368" i="84"/>
  <c r="J85" i="84" s="1"/>
  <c r="F368" i="84"/>
  <c r="G85" i="84" s="1"/>
  <c r="G368" i="84"/>
  <c r="H85" i="84" s="1"/>
  <c r="H368" i="84"/>
  <c r="I85" i="84" s="1"/>
  <c r="D209" i="84"/>
  <c r="C227" i="84"/>
  <c r="D218" i="84"/>
  <c r="E217" i="84" s="1"/>
  <c r="E190" i="84"/>
  <c r="F351" i="84"/>
  <c r="H106" i="84" s="1"/>
  <c r="G107" i="84"/>
  <c r="H351" i="84"/>
  <c r="J106" i="84" s="1"/>
  <c r="I107" i="84"/>
  <c r="D214" i="84"/>
  <c r="E213" i="84" s="1"/>
  <c r="E184" i="84"/>
  <c r="D222" i="84"/>
  <c r="E221" i="84" s="1"/>
  <c r="E196" i="84"/>
  <c r="H107" i="84"/>
  <c r="G351" i="84"/>
  <c r="I106" i="84" s="1"/>
  <c r="F107" i="84"/>
  <c r="E351" i="84"/>
  <c r="G106" i="84" s="1"/>
  <c r="D179" i="84"/>
  <c r="D178" i="84" s="1"/>
  <c r="D139" i="84" s="1"/>
  <c r="D107" i="84"/>
  <c r="D109" i="84" s="1"/>
  <c r="C351" i="84"/>
  <c r="E106" i="84" s="1"/>
  <c r="B13" i="21"/>
  <c r="C368" i="84"/>
  <c r="D85" i="84" s="1"/>
  <c r="D87" i="84" s="1"/>
  <c r="E39" i="61" s="1"/>
  <c r="D186" i="84"/>
  <c r="D143" i="84" s="1"/>
  <c r="D145" i="84" s="1"/>
  <c r="E39" i="83" l="1"/>
  <c r="C12" i="68"/>
  <c r="E40" i="61"/>
  <c r="D210" i="84"/>
  <c r="E176" i="84"/>
  <c r="E187" i="84"/>
  <c r="E186" i="84" s="1"/>
  <c r="E143" i="84" s="1"/>
  <c r="E145" i="84" s="1"/>
  <c r="D226" i="84"/>
  <c r="D90" i="84"/>
  <c r="B18" i="21"/>
  <c r="B19" i="21" s="1"/>
  <c r="E18" i="61"/>
  <c r="C127" i="29"/>
  <c r="C157" i="29"/>
  <c r="C142" i="29"/>
  <c r="C172" i="29"/>
  <c r="D127" i="84"/>
  <c r="B27" i="21"/>
  <c r="B29" i="21" s="1"/>
  <c r="E102" i="84"/>
  <c r="D141" i="84"/>
  <c r="D170" i="84" s="1"/>
  <c r="E82" i="84" s="1"/>
  <c r="E199" i="84"/>
  <c r="E193" i="84"/>
  <c r="F39" i="83" l="1"/>
  <c r="D129" i="84"/>
  <c r="E222" i="84"/>
  <c r="F221" i="84" s="1"/>
  <c r="F196" i="84"/>
  <c r="C158" i="29"/>
  <c r="C159" i="29" s="1"/>
  <c r="C173" i="29"/>
  <c r="C174" i="29" s="1"/>
  <c r="C143" i="29"/>
  <c r="C144" i="29" s="1"/>
  <c r="C128" i="29"/>
  <c r="C129" i="29" s="1"/>
  <c r="E198" i="84"/>
  <c r="E151" i="84" s="1"/>
  <c r="E153" i="84" s="1"/>
  <c r="E179" i="84"/>
  <c r="E178" i="84" s="1"/>
  <c r="E139" i="84" s="1"/>
  <c r="E218" i="84"/>
  <c r="F217" i="84" s="1"/>
  <c r="F190" i="84"/>
  <c r="C6" i="68"/>
  <c r="E89" i="84"/>
  <c r="C17" i="21"/>
  <c r="E209" i="84"/>
  <c r="D227" i="84"/>
  <c r="E87" i="84"/>
  <c r="F39" i="61" s="1"/>
  <c r="C13" i="21"/>
  <c r="E192" i="84"/>
  <c r="E147" i="84" s="1"/>
  <c r="E149" i="84" s="1"/>
  <c r="F52" i="61"/>
  <c r="F54" i="61" s="1"/>
  <c r="C26" i="69" s="1"/>
  <c r="D12" i="68" s="1"/>
  <c r="E109" i="84"/>
  <c r="F9" i="61"/>
  <c r="F12" i="61" s="1"/>
  <c r="E21" i="61"/>
  <c r="E42" i="61" s="1"/>
  <c r="B11" i="69" s="1"/>
  <c r="E214" i="84"/>
  <c r="F213" i="84" s="1"/>
  <c r="F184" i="84"/>
  <c r="B9" i="69"/>
  <c r="C132" i="29"/>
  <c r="C133" i="29" s="1"/>
  <c r="C147" i="29"/>
  <c r="C148" i="29" s="1"/>
  <c r="C177" i="29"/>
  <c r="C178" i="29" s="1"/>
  <c r="B42" i="21"/>
  <c r="B44" i="21" s="1"/>
  <c r="B49" i="21" s="1"/>
  <c r="C162" i="29"/>
  <c r="C163" i="29" s="1"/>
  <c r="C24" i="68"/>
  <c r="H39" i="83" l="1"/>
  <c r="G39" i="83"/>
  <c r="E44" i="61"/>
  <c r="E55" i="61" s="1"/>
  <c r="E57" i="61" s="1"/>
  <c r="D11" i="62" s="1"/>
  <c r="C134" i="29"/>
  <c r="C179" i="29"/>
  <c r="C13" i="68"/>
  <c r="K11" i="69"/>
  <c r="F40" i="61"/>
  <c r="K9" i="69"/>
  <c r="F102" i="84"/>
  <c r="E141" i="84"/>
  <c r="E170" i="84" s="1"/>
  <c r="F82" i="84" s="1"/>
  <c r="C149" i="29"/>
  <c r="E90" i="84"/>
  <c r="C18" i="21"/>
  <c r="C19" i="21" s="1"/>
  <c r="E226" i="84"/>
  <c r="F18" i="61"/>
  <c r="F187" i="84"/>
  <c r="F186" i="84" s="1"/>
  <c r="F143" i="84" s="1"/>
  <c r="F145" i="84" s="1"/>
  <c r="K24" i="68"/>
  <c r="E210" i="84"/>
  <c r="F176" i="84"/>
  <c r="F199" i="84"/>
  <c r="F198" i="84" s="1"/>
  <c r="F151" i="84" s="1"/>
  <c r="F153" i="84" s="1"/>
  <c r="E127" i="84"/>
  <c r="C27" i="21"/>
  <c r="C29" i="21" s="1"/>
  <c r="D172" i="29"/>
  <c r="D142" i="29"/>
  <c r="D157" i="29"/>
  <c r="D127" i="29"/>
  <c r="F193" i="84"/>
  <c r="C164" i="29"/>
  <c r="E129" i="84" l="1"/>
  <c r="E56" i="61"/>
  <c r="B25" i="69" s="1"/>
  <c r="C11" i="68"/>
  <c r="D6" i="68"/>
  <c r="G9" i="61"/>
  <c r="G12" i="61" s="1"/>
  <c r="F21" i="61"/>
  <c r="F42" i="61" s="1"/>
  <c r="C11" i="69" s="1"/>
  <c r="D177" i="29"/>
  <c r="D178" i="29" s="1"/>
  <c r="D147" i="29"/>
  <c r="D148" i="29" s="1"/>
  <c r="C42" i="21"/>
  <c r="C44" i="21" s="1"/>
  <c r="C49" i="21" s="1"/>
  <c r="D162" i="29"/>
  <c r="D163" i="29" s="1"/>
  <c r="D132" i="29"/>
  <c r="D133" i="29" s="1"/>
  <c r="D24" i="68"/>
  <c r="F179" i="84"/>
  <c r="F214" i="84"/>
  <c r="G213" i="84" s="1"/>
  <c r="G184" i="84"/>
  <c r="F89" i="84"/>
  <c r="D17" i="21"/>
  <c r="D13" i="21"/>
  <c r="F87" i="84"/>
  <c r="G39" i="61" s="1"/>
  <c r="C9" i="69"/>
  <c r="D120" i="57"/>
  <c r="D121" i="57" s="1"/>
  <c r="D12" i="62"/>
  <c r="D143" i="29"/>
  <c r="D144" i="29" s="1"/>
  <c r="D173" i="29"/>
  <c r="D174" i="29" s="1"/>
  <c r="D158" i="29"/>
  <c r="D159" i="29" s="1"/>
  <c r="D128" i="29"/>
  <c r="D129" i="29" s="1"/>
  <c r="G52" i="61"/>
  <c r="G54" i="61" s="1"/>
  <c r="D26" i="69" s="1"/>
  <c r="E12" i="68" s="1"/>
  <c r="F109" i="84"/>
  <c r="G190" i="84"/>
  <c r="F218" i="84"/>
  <c r="G217" i="84" s="1"/>
  <c r="F192" i="84"/>
  <c r="F147" i="84" s="1"/>
  <c r="F149" i="84" s="1"/>
  <c r="F209" i="84"/>
  <c r="E227" i="84"/>
  <c r="F222" i="84"/>
  <c r="G221" i="84" s="1"/>
  <c r="G196" i="84"/>
  <c r="B52" i="21" l="1"/>
  <c r="C41" i="29" s="1"/>
  <c r="D134" i="29"/>
  <c r="D164" i="29"/>
  <c r="D179" i="29"/>
  <c r="F44" i="61"/>
  <c r="F55" i="61" s="1"/>
  <c r="F57" i="61" s="1"/>
  <c r="G199" i="84"/>
  <c r="I12" i="62"/>
  <c r="D22" i="29"/>
  <c r="C80" i="29"/>
  <c r="C68" i="29"/>
  <c r="C91" i="29"/>
  <c r="E21" i="62"/>
  <c r="H21" i="62" s="1"/>
  <c r="C15" i="29"/>
  <c r="G40" i="61"/>
  <c r="G187" i="84"/>
  <c r="L24" i="68"/>
  <c r="K25" i="69"/>
  <c r="B28" i="69"/>
  <c r="E157" i="29"/>
  <c r="E172" i="29"/>
  <c r="E142" i="29"/>
  <c r="E127" i="29"/>
  <c r="F90" i="84"/>
  <c r="F226" i="84"/>
  <c r="D18" i="21"/>
  <c r="D19" i="21" s="1"/>
  <c r="G18" i="61"/>
  <c r="D27" i="21"/>
  <c r="D29" i="21" s="1"/>
  <c r="F127" i="84"/>
  <c r="F210" i="84"/>
  <c r="G176" i="84"/>
  <c r="D149" i="29"/>
  <c r="G193" i="84"/>
  <c r="G192" i="84" s="1"/>
  <c r="G147" i="84" s="1"/>
  <c r="G149" i="84" s="1"/>
  <c r="D13" i="68"/>
  <c r="F178" i="84"/>
  <c r="F139" i="84" s="1"/>
  <c r="C30" i="68" l="1"/>
  <c r="B54" i="21"/>
  <c r="F56" i="61"/>
  <c r="C25" i="69" s="1"/>
  <c r="F129" i="84"/>
  <c r="G214" i="84"/>
  <c r="H213" i="84" s="1"/>
  <c r="H184" i="84"/>
  <c r="G209" i="84"/>
  <c r="F227" i="84"/>
  <c r="E162" i="29"/>
  <c r="E163" i="29" s="1"/>
  <c r="D42" i="21"/>
  <c r="D44" i="21" s="1"/>
  <c r="D49" i="21" s="1"/>
  <c r="E147" i="29"/>
  <c r="E148" i="29" s="1"/>
  <c r="E132" i="29"/>
  <c r="E133" i="29" s="1"/>
  <c r="E177" i="29"/>
  <c r="E178" i="29" s="1"/>
  <c r="E24" i="68"/>
  <c r="G186" i="84"/>
  <c r="G143" i="84" s="1"/>
  <c r="G145" i="84" s="1"/>
  <c r="C7" i="68"/>
  <c r="E22" i="62"/>
  <c r="F21" i="62" s="1"/>
  <c r="B34" i="69"/>
  <c r="G179" i="84"/>
  <c r="G178" i="84" s="1"/>
  <c r="G139" i="84" s="1"/>
  <c r="E17" i="21"/>
  <c r="G89" i="84"/>
  <c r="G102" i="84"/>
  <c r="F141" i="84"/>
  <c r="F170" i="84" s="1"/>
  <c r="G82" i="84" s="1"/>
  <c r="H190" i="84"/>
  <c r="G218" i="84"/>
  <c r="H217" i="84" s="1"/>
  <c r="H9" i="61"/>
  <c r="H12" i="61" s="1"/>
  <c r="G21" i="61"/>
  <c r="G42" i="61" s="1"/>
  <c r="D11" i="69" s="1"/>
  <c r="E6" i="68"/>
  <c r="D9" i="69"/>
  <c r="H196" i="84"/>
  <c r="G222" i="84"/>
  <c r="H221" i="84" s="1"/>
  <c r="E158" i="29"/>
  <c r="E159" i="29" s="1"/>
  <c r="E173" i="29"/>
  <c r="E174" i="29" s="1"/>
  <c r="E128" i="29"/>
  <c r="E129" i="29" s="1"/>
  <c r="E143" i="29"/>
  <c r="E144" i="29" s="1"/>
  <c r="K28" i="69"/>
  <c r="B32" i="69"/>
  <c r="B87" i="22"/>
  <c r="B90" i="22" s="1"/>
  <c r="B91" i="22" s="1"/>
  <c r="B55" i="21" s="1"/>
  <c r="C31" i="68" s="1"/>
  <c r="C32" i="68" s="1"/>
  <c r="G198" i="84"/>
  <c r="G151" i="84" s="1"/>
  <c r="G153" i="84" s="1"/>
  <c r="E134" i="29" l="1"/>
  <c r="E179" i="29"/>
  <c r="C52" i="21"/>
  <c r="D41" i="29" s="1"/>
  <c r="E149" i="29"/>
  <c r="E164" i="29"/>
  <c r="G44" i="61"/>
  <c r="G55" i="61" s="1"/>
  <c r="G56" i="61" s="1"/>
  <c r="H102" i="84"/>
  <c r="G141" i="84"/>
  <c r="G170" i="84" s="1"/>
  <c r="H82" i="84" s="1"/>
  <c r="B56" i="21"/>
  <c r="B57" i="21" s="1"/>
  <c r="E13" i="68"/>
  <c r="H193" i="84"/>
  <c r="H192" i="84" s="1"/>
  <c r="H147" i="84" s="1"/>
  <c r="H149" i="84" s="1"/>
  <c r="K34" i="69"/>
  <c r="C34" i="69"/>
  <c r="G90" i="84"/>
  <c r="G226" i="84"/>
  <c r="E18" i="21"/>
  <c r="H18" i="61"/>
  <c r="H187" i="84"/>
  <c r="H186" i="84" s="1"/>
  <c r="H143" i="84" s="1"/>
  <c r="H145" i="84" s="1"/>
  <c r="K32" i="69"/>
  <c r="H199" i="84"/>
  <c r="H198" i="84" s="1"/>
  <c r="H151" i="84" s="1"/>
  <c r="H153" i="84" s="1"/>
  <c r="G87" i="84"/>
  <c r="H39" i="61" s="1"/>
  <c r="E13" i="21"/>
  <c r="F19" i="62"/>
  <c r="F20" i="62"/>
  <c r="M24" i="68"/>
  <c r="D11" i="68"/>
  <c r="C28" i="69"/>
  <c r="C32" i="69" s="1"/>
  <c r="G109" i="84"/>
  <c r="H52" i="61"/>
  <c r="H54" i="61" s="1"/>
  <c r="E26" i="69" s="1"/>
  <c r="F12" i="68" s="1"/>
  <c r="G210" i="84"/>
  <c r="H176" i="84"/>
  <c r="D30" i="68" l="1"/>
  <c r="C54" i="21"/>
  <c r="C87" i="22" s="1"/>
  <c r="C90" i="22" s="1"/>
  <c r="C91" i="22" s="1"/>
  <c r="C55" i="21" s="1"/>
  <c r="D31" i="68" s="1"/>
  <c r="G57" i="61"/>
  <c r="H179" i="84"/>
  <c r="D52" i="21"/>
  <c r="E41" i="29" s="1"/>
  <c r="D25" i="69"/>
  <c r="C37" i="29"/>
  <c r="C39" i="29" s="1"/>
  <c r="C42" i="29" s="1"/>
  <c r="C44" i="29" s="1"/>
  <c r="C55" i="29"/>
  <c r="C60" i="29" s="1"/>
  <c r="C64" i="29" s="1"/>
  <c r="B58" i="21"/>
  <c r="D9" i="29"/>
  <c r="D14" i="29" s="1"/>
  <c r="C77" i="29"/>
  <c r="D92" i="29"/>
  <c r="D95" i="29" s="1"/>
  <c r="D96" i="29" s="1"/>
  <c r="E27" i="21"/>
  <c r="E29" i="21" s="1"/>
  <c r="G127" i="84"/>
  <c r="G129" i="84" s="1"/>
  <c r="I190" i="84"/>
  <c r="H218" i="84"/>
  <c r="I217" i="84" s="1"/>
  <c r="H209" i="84"/>
  <c r="G227" i="84"/>
  <c r="H40" i="61"/>
  <c r="F128" i="29"/>
  <c r="F173" i="29"/>
  <c r="F158" i="29"/>
  <c r="F143" i="29"/>
  <c r="D34" i="69"/>
  <c r="H87" i="84"/>
  <c r="I39" i="61" s="1"/>
  <c r="F13" i="21"/>
  <c r="F157" i="29"/>
  <c r="F172" i="29"/>
  <c r="F142" i="29"/>
  <c r="F127" i="29"/>
  <c r="E19" i="21"/>
  <c r="I9" i="61"/>
  <c r="I12" i="61" s="1"/>
  <c r="H21" i="61"/>
  <c r="H42" i="61" s="1"/>
  <c r="E11" i="69" s="1"/>
  <c r="H222" i="84"/>
  <c r="I221" i="84" s="1"/>
  <c r="I196" i="84"/>
  <c r="H214" i="84"/>
  <c r="I213" i="84" s="1"/>
  <c r="I184" i="84"/>
  <c r="H89" i="84"/>
  <c r="F17" i="21"/>
  <c r="H109" i="84"/>
  <c r="I52" i="61"/>
  <c r="I54" i="61" s="1"/>
  <c r="F26" i="69" s="1"/>
  <c r="G12" i="68" s="1"/>
  <c r="D32" i="68" l="1"/>
  <c r="F129" i="29"/>
  <c r="F144" i="29"/>
  <c r="F159" i="29"/>
  <c r="I199" i="84"/>
  <c r="I222" i="84" s="1"/>
  <c r="G172" i="29"/>
  <c r="G127" i="29"/>
  <c r="G142" i="29"/>
  <c r="G157" i="29"/>
  <c r="E9" i="69"/>
  <c r="H44" i="61"/>
  <c r="H55" i="61" s="1"/>
  <c r="H210" i="84"/>
  <c r="I176" i="84"/>
  <c r="F174" i="29"/>
  <c r="I40" i="61"/>
  <c r="F132" i="29"/>
  <c r="F133" i="29" s="1"/>
  <c r="F134" i="29" s="1"/>
  <c r="E42" i="21"/>
  <c r="E44" i="21" s="1"/>
  <c r="E49" i="21" s="1"/>
  <c r="F177" i="29"/>
  <c r="F178" i="29" s="1"/>
  <c r="F162" i="29"/>
  <c r="F163" i="29" s="1"/>
  <c r="F147" i="29"/>
  <c r="F148" i="29" s="1"/>
  <c r="F24" i="68"/>
  <c r="D15" i="29"/>
  <c r="E11" i="68"/>
  <c r="D28" i="69"/>
  <c r="D32" i="69" s="1"/>
  <c r="I187" i="84"/>
  <c r="I214" i="84" s="1"/>
  <c r="F6" i="68"/>
  <c r="E34" i="69"/>
  <c r="H90" i="84"/>
  <c r="H226" i="84"/>
  <c r="I18" i="61"/>
  <c r="F18" i="21"/>
  <c r="F19" i="21" s="1"/>
  <c r="I193" i="84"/>
  <c r="I218" i="84" s="1"/>
  <c r="B38" i="69"/>
  <c r="C106" i="29"/>
  <c r="C110" i="29" s="1"/>
  <c r="C114" i="29" s="1"/>
  <c r="B59" i="21"/>
  <c r="C8" i="68"/>
  <c r="C14" i="68" s="1"/>
  <c r="C33" i="68" s="1"/>
  <c r="C35" i="68" s="1"/>
  <c r="B39" i="69"/>
  <c r="K39" i="69" s="1"/>
  <c r="B18" i="69"/>
  <c r="E30" i="68"/>
  <c r="D54" i="21"/>
  <c r="F27" i="21"/>
  <c r="F29" i="21" s="1"/>
  <c r="H127" i="84"/>
  <c r="C56" i="21"/>
  <c r="C57" i="21" s="1"/>
  <c r="H178" i="84"/>
  <c r="H139" i="84" s="1"/>
  <c r="F164" i="29" l="1"/>
  <c r="H129" i="84"/>
  <c r="F149" i="29"/>
  <c r="I198" i="84"/>
  <c r="I151" i="84" s="1"/>
  <c r="I153" i="84" s="1"/>
  <c r="I192" i="84"/>
  <c r="I147" i="84" s="1"/>
  <c r="I149" i="84" s="1"/>
  <c r="G6" i="68"/>
  <c r="I102" i="84"/>
  <c r="H141" i="84"/>
  <c r="H170" i="84" s="1"/>
  <c r="I82" i="84" s="1"/>
  <c r="I89" i="84"/>
  <c r="G17" i="21"/>
  <c r="B8" i="69"/>
  <c r="D34" i="68"/>
  <c r="N24" i="68"/>
  <c r="F179" i="29"/>
  <c r="G158" i="29"/>
  <c r="G159" i="29" s="1"/>
  <c r="G143" i="29"/>
  <c r="G144" i="29" s="1"/>
  <c r="G128" i="29"/>
  <c r="G129" i="29" s="1"/>
  <c r="G173" i="29"/>
  <c r="G174" i="29" s="1"/>
  <c r="F34" i="69"/>
  <c r="I179" i="84"/>
  <c r="I210" i="84" s="1"/>
  <c r="I227" i="84" s="1"/>
  <c r="H57" i="61"/>
  <c r="H56" i="61"/>
  <c r="D77" i="29"/>
  <c r="E92" i="29"/>
  <c r="E95" i="29" s="1"/>
  <c r="E96" i="29" s="1"/>
  <c r="E9" i="29"/>
  <c r="E14" i="29" s="1"/>
  <c r="D37" i="29"/>
  <c r="D39" i="29" s="1"/>
  <c r="D42" i="29" s="1"/>
  <c r="D44" i="29" s="1"/>
  <c r="D55" i="29"/>
  <c r="D60" i="29" s="1"/>
  <c r="D64" i="29" s="1"/>
  <c r="G162" i="29"/>
  <c r="G163" i="29" s="1"/>
  <c r="F42" i="21"/>
  <c r="F44" i="21" s="1"/>
  <c r="F49" i="21" s="1"/>
  <c r="G132" i="29"/>
  <c r="G133" i="29" s="1"/>
  <c r="G177" i="29"/>
  <c r="G178" i="29" s="1"/>
  <c r="G24" i="68"/>
  <c r="G147" i="29"/>
  <c r="G148" i="29" s="1"/>
  <c r="K18" i="69"/>
  <c r="D87" i="22"/>
  <c r="D90" i="22" s="1"/>
  <c r="D91" i="22" s="1"/>
  <c r="D55" i="21" s="1"/>
  <c r="E31" i="68" s="1"/>
  <c r="E32" i="68" s="1"/>
  <c r="K38" i="69"/>
  <c r="B40" i="69"/>
  <c r="J9" i="61"/>
  <c r="J12" i="61" s="1"/>
  <c r="I21" i="61"/>
  <c r="I42" i="61" s="1"/>
  <c r="F11" i="69" s="1"/>
  <c r="I186" i="84"/>
  <c r="I143" i="84" s="1"/>
  <c r="I145" i="84" s="1"/>
  <c r="F9" i="69"/>
  <c r="I209" i="84"/>
  <c r="H227" i="84"/>
  <c r="F13" i="68"/>
  <c r="G164" i="29" l="1"/>
  <c r="G13" i="68"/>
  <c r="I44" i="61"/>
  <c r="I55" i="61" s="1"/>
  <c r="I57" i="61" s="1"/>
  <c r="G179" i="29"/>
  <c r="G149" i="29"/>
  <c r="G18" i="21"/>
  <c r="I90" i="84"/>
  <c r="J18" i="61"/>
  <c r="I226" i="84"/>
  <c r="D8" i="68"/>
  <c r="D14" i="68" s="1"/>
  <c r="D33" i="68" s="1"/>
  <c r="D35" i="68" s="1"/>
  <c r="C39" i="69"/>
  <c r="G34" i="69"/>
  <c r="K40" i="69"/>
  <c r="C37" i="69"/>
  <c r="B42" i="69"/>
  <c r="C18" i="69"/>
  <c r="C58" i="21"/>
  <c r="E25" i="69"/>
  <c r="E52" i="21"/>
  <c r="F41" i="29" s="1"/>
  <c r="I87" i="84"/>
  <c r="J39" i="61" s="1"/>
  <c r="G13" i="21"/>
  <c r="I109" i="84"/>
  <c r="J52" i="61"/>
  <c r="J54" i="61" s="1"/>
  <c r="G26" i="69" s="1"/>
  <c r="H12" i="68" s="1"/>
  <c r="G134" i="29"/>
  <c r="D56" i="21"/>
  <c r="D57" i="21" s="1"/>
  <c r="E15" i="29"/>
  <c r="I178" i="84"/>
  <c r="I139" i="84" s="1"/>
  <c r="K8" i="69"/>
  <c r="C36" i="68"/>
  <c r="C37" i="68" s="1"/>
  <c r="B12" i="69"/>
  <c r="H18" i="21"/>
  <c r="J90" i="84"/>
  <c r="K18" i="61"/>
  <c r="K21" i="61" s="1"/>
  <c r="K42" i="61" s="1"/>
  <c r="H11" i="69" s="1"/>
  <c r="O24" i="68"/>
  <c r="I56" i="61" l="1"/>
  <c r="F52" i="21" s="1"/>
  <c r="G41" i="29" s="1"/>
  <c r="J40" i="61"/>
  <c r="H34" i="69"/>
  <c r="K9" i="61"/>
  <c r="K12" i="61" s="1"/>
  <c r="J21" i="61"/>
  <c r="J42" i="61" s="1"/>
  <c r="G11" i="69" s="1"/>
  <c r="F30" i="68"/>
  <c r="E54" i="21"/>
  <c r="E77" i="29"/>
  <c r="F92" i="29"/>
  <c r="F95" i="29" s="1"/>
  <c r="F96" i="29" s="1"/>
  <c r="D18" i="69"/>
  <c r="E37" i="29"/>
  <c r="E39" i="29" s="1"/>
  <c r="E42" i="29" s="1"/>
  <c r="E44" i="29" s="1"/>
  <c r="E55" i="29"/>
  <c r="E60" i="29" s="1"/>
  <c r="E64" i="29" s="1"/>
  <c r="F9" i="29"/>
  <c r="F14" i="29" s="1"/>
  <c r="I127" i="84"/>
  <c r="I129" i="84" s="1"/>
  <c r="G27" i="21"/>
  <c r="G29" i="21" s="1"/>
  <c r="F11" i="68"/>
  <c r="E28" i="69"/>
  <c r="E32" i="69" s="1"/>
  <c r="K42" i="69"/>
  <c r="B44" i="69"/>
  <c r="E34" i="68"/>
  <c r="C8" i="69"/>
  <c r="H158" i="29"/>
  <c r="H128" i="29"/>
  <c r="H143" i="29"/>
  <c r="H173" i="29"/>
  <c r="J102" i="84"/>
  <c r="I141" i="84"/>
  <c r="I170" i="84" s="1"/>
  <c r="J82" i="84" s="1"/>
  <c r="B21" i="69"/>
  <c r="K21" i="69" s="1"/>
  <c r="K12" i="69"/>
  <c r="H142" i="29"/>
  <c r="H157" i="29"/>
  <c r="H127" i="29"/>
  <c r="H172" i="29"/>
  <c r="H174" i="29" s="1"/>
  <c r="G19" i="21"/>
  <c r="C38" i="69"/>
  <c r="C40" i="69" s="1"/>
  <c r="D106" i="29"/>
  <c r="D110" i="29" s="1"/>
  <c r="D114" i="29" s="1"/>
  <c r="C59" i="21"/>
  <c r="J89" i="84"/>
  <c r="H17" i="21"/>
  <c r="I173" i="29" s="1"/>
  <c r="F25" i="69" l="1"/>
  <c r="G11" i="68" s="1"/>
  <c r="H159" i="29"/>
  <c r="D58" i="21"/>
  <c r="D38" i="69" s="1"/>
  <c r="I158" i="29"/>
  <c r="H129" i="29"/>
  <c r="H144" i="29"/>
  <c r="I143" i="29"/>
  <c r="C12" i="69"/>
  <c r="C21" i="69" s="1"/>
  <c r="D36" i="68"/>
  <c r="D37" i="68" s="1"/>
  <c r="G30" i="68"/>
  <c r="F54" i="21"/>
  <c r="I128" i="29"/>
  <c r="J87" i="84"/>
  <c r="K39" i="61" s="1"/>
  <c r="H13" i="21"/>
  <c r="F15" i="29"/>
  <c r="E8" i="68"/>
  <c r="E14" i="68" s="1"/>
  <c r="E33" i="68" s="1"/>
  <c r="E35" i="68" s="1"/>
  <c r="D39" i="69"/>
  <c r="D37" i="69"/>
  <c r="C42" i="69"/>
  <c r="C44" i="69" s="1"/>
  <c r="H6" i="68"/>
  <c r="J109" i="84"/>
  <c r="K52" i="61"/>
  <c r="K54" i="61" s="1"/>
  <c r="H26" i="69" s="1"/>
  <c r="I12" i="68" s="1"/>
  <c r="G9" i="69"/>
  <c r="J44" i="61"/>
  <c r="J55" i="61" s="1"/>
  <c r="K44" i="69"/>
  <c r="B47" i="69"/>
  <c r="H162" i="29"/>
  <c r="H163" i="29" s="1"/>
  <c r="H164" i="29" s="1"/>
  <c r="H147" i="29"/>
  <c r="H148" i="29" s="1"/>
  <c r="H132" i="29"/>
  <c r="H133" i="29" s="1"/>
  <c r="G42" i="21"/>
  <c r="G44" i="21" s="1"/>
  <c r="G49" i="21" s="1"/>
  <c r="H177" i="29"/>
  <c r="H178" i="29" s="1"/>
  <c r="H179" i="29" s="1"/>
  <c r="H24" i="68"/>
  <c r="E87" i="22"/>
  <c r="E90" i="22" s="1"/>
  <c r="E91" i="22" s="1"/>
  <c r="E55" i="21" s="1"/>
  <c r="F31" i="68" s="1"/>
  <c r="F32" i="68" s="1"/>
  <c r="H149" i="29" l="1"/>
  <c r="D59" i="21"/>
  <c r="F28" i="69"/>
  <c r="F32" i="69" s="1"/>
  <c r="E106" i="29"/>
  <c r="E110" i="29" s="1"/>
  <c r="E114" i="29" s="1"/>
  <c r="H134" i="29"/>
  <c r="C47" i="69"/>
  <c r="F87" i="22"/>
  <c r="F90" i="22" s="1"/>
  <c r="F91" i="22" s="1"/>
  <c r="F55" i="21" s="1"/>
  <c r="G31" i="68" s="1"/>
  <c r="G32" i="68" s="1"/>
  <c r="P24" i="68"/>
  <c r="J127" i="84"/>
  <c r="J129" i="84" s="1"/>
  <c r="H27" i="21"/>
  <c r="H29" i="21" s="1"/>
  <c r="D8" i="69"/>
  <c r="F34" i="68"/>
  <c r="I157" i="29"/>
  <c r="I159" i="29" s="1"/>
  <c r="I142" i="29"/>
  <c r="I144" i="29" s="1"/>
  <c r="I127" i="29"/>
  <c r="I129" i="29" s="1"/>
  <c r="I172" i="29"/>
  <c r="I174" i="29" s="1"/>
  <c r="H19" i="21"/>
  <c r="E56" i="21"/>
  <c r="E57" i="21" s="1"/>
  <c r="J57" i="61"/>
  <c r="J56" i="61"/>
  <c r="D40" i="69"/>
  <c r="K40" i="61"/>
  <c r="H13" i="68"/>
  <c r="I6" i="68" l="1"/>
  <c r="I132" i="29"/>
  <c r="I133" i="29" s="1"/>
  <c r="I134" i="29" s="1"/>
  <c r="H42" i="21"/>
  <c r="H44" i="21" s="1"/>
  <c r="H49" i="21" s="1"/>
  <c r="I147" i="29"/>
  <c r="I148" i="29" s="1"/>
  <c r="I149" i="29" s="1"/>
  <c r="I162" i="29"/>
  <c r="I163" i="29" s="1"/>
  <c r="I164" i="29" s="1"/>
  <c r="I177" i="29"/>
  <c r="I178" i="29" s="1"/>
  <c r="I179" i="29" s="1"/>
  <c r="I24" i="68"/>
  <c r="F56" i="21"/>
  <c r="F57" i="21" s="1"/>
  <c r="E37" i="69"/>
  <c r="D42" i="69"/>
  <c r="D44" i="69" s="1"/>
  <c r="E58" i="21"/>
  <c r="F77" i="29"/>
  <c r="F37" i="29"/>
  <c r="F39" i="29" s="1"/>
  <c r="F42" i="29" s="1"/>
  <c r="F44" i="29" s="1"/>
  <c r="G9" i="29"/>
  <c r="G14" i="29" s="1"/>
  <c r="G92" i="29"/>
  <c r="G95" i="29" s="1"/>
  <c r="G96" i="29" s="1"/>
  <c r="F55" i="29"/>
  <c r="F60" i="29" s="1"/>
  <c r="F64" i="29" s="1"/>
  <c r="D12" i="69"/>
  <c r="D21" i="69" s="1"/>
  <c r="E36" i="68"/>
  <c r="E37" i="68" s="1"/>
  <c r="H9" i="69"/>
  <c r="I13" i="68" s="1"/>
  <c r="K44" i="61"/>
  <c r="K55" i="61" s="1"/>
  <c r="G25" i="69"/>
  <c r="G52" i="21"/>
  <c r="H41" i="29" s="1"/>
  <c r="H11" i="68" l="1"/>
  <c r="G28" i="69"/>
  <c r="G32" i="69" s="1"/>
  <c r="K57" i="61"/>
  <c r="K56" i="61"/>
  <c r="E38" i="69"/>
  <c r="F106" i="29"/>
  <c r="F110" i="29" s="1"/>
  <c r="F114" i="29" s="1"/>
  <c r="C116" i="29" s="1"/>
  <c r="D33" i="62" s="1"/>
  <c r="E59" i="21"/>
  <c r="H30" i="68"/>
  <c r="G54" i="21"/>
  <c r="F8" i="68"/>
  <c r="F14" i="68" s="1"/>
  <c r="F33" i="68" s="1"/>
  <c r="F35" i="68" s="1"/>
  <c r="E39" i="69"/>
  <c r="E18" i="69"/>
  <c r="G77" i="29"/>
  <c r="H9" i="29"/>
  <c r="H14" i="29" s="1"/>
  <c r="H92" i="29"/>
  <c r="H95" i="29" s="1"/>
  <c r="D98" i="29" s="1"/>
  <c r="D32" i="62" s="1"/>
  <c r="G37" i="29"/>
  <c r="G39" i="29" s="1"/>
  <c r="G42" i="29" s="1"/>
  <c r="G44" i="29" s="1"/>
  <c r="F58" i="21"/>
  <c r="G55" i="29"/>
  <c r="G60" i="29" s="1"/>
  <c r="G64" i="29" s="1"/>
  <c r="G15" i="29"/>
  <c r="D47" i="69"/>
  <c r="Q24" i="68"/>
  <c r="E40" i="69" l="1"/>
  <c r="F37" i="69" s="1"/>
  <c r="G106" i="29"/>
  <c r="G110" i="29" s="1"/>
  <c r="F38" i="69"/>
  <c r="H15" i="29"/>
  <c r="G34" i="68"/>
  <c r="E8" i="69"/>
  <c r="F39" i="69"/>
  <c r="G8" i="68"/>
  <c r="G14" i="68" s="1"/>
  <c r="G33" i="68" s="1"/>
  <c r="H96" i="29"/>
  <c r="F18" i="69"/>
  <c r="F59" i="21"/>
  <c r="G87" i="22"/>
  <c r="G90" i="22" s="1"/>
  <c r="G91" i="22" s="1"/>
  <c r="G55" i="21" s="1"/>
  <c r="H31" i="68" s="1"/>
  <c r="H32" i="68" s="1"/>
  <c r="H25" i="69"/>
  <c r="H52" i="21"/>
  <c r="I41" i="29" s="1"/>
  <c r="E42" i="69" l="1"/>
  <c r="E44" i="69" s="1"/>
  <c r="G35" i="68"/>
  <c r="F8" i="69" s="1"/>
  <c r="I30" i="68"/>
  <c r="H54" i="21"/>
  <c r="I11" i="68"/>
  <c r="H28" i="69"/>
  <c r="H32" i="69" s="1"/>
  <c r="G56" i="21"/>
  <c r="G57" i="21" s="1"/>
  <c r="F36" i="68"/>
  <c r="F37" i="68" s="1"/>
  <c r="E12" i="69"/>
  <c r="E21" i="69" s="1"/>
  <c r="F40" i="69"/>
  <c r="H34" i="68" l="1"/>
  <c r="E47" i="69"/>
  <c r="F12" i="69"/>
  <c r="F21" i="69" s="1"/>
  <c r="G36" i="68"/>
  <c r="G37" i="68" s="1"/>
  <c r="G37" i="69"/>
  <c r="F42" i="69"/>
  <c r="F44" i="69" s="1"/>
  <c r="G58" i="21"/>
  <c r="H77" i="29"/>
  <c r="I92" i="29"/>
  <c r="I95" i="29" s="1"/>
  <c r="H55" i="29"/>
  <c r="H60" i="29" s="1"/>
  <c r="H64" i="29" s="1"/>
  <c r="H37" i="29"/>
  <c r="H39" i="29" s="1"/>
  <c r="H42" i="29" s="1"/>
  <c r="H44" i="29" s="1"/>
  <c r="I9" i="29"/>
  <c r="I14" i="29" s="1"/>
  <c r="H87" i="22"/>
  <c r="H90" i="22" s="1"/>
  <c r="H91" i="22" s="1"/>
  <c r="H55" i="21" s="1"/>
  <c r="I31" i="68" s="1"/>
  <c r="I32" i="68" s="1"/>
  <c r="F47" i="69" l="1"/>
  <c r="H56" i="21"/>
  <c r="H57" i="21" s="1"/>
  <c r="H106" i="29"/>
  <c r="H110" i="29" s="1"/>
  <c r="G38" i="69"/>
  <c r="G59" i="21"/>
  <c r="I15" i="29"/>
  <c r="H8" i="68"/>
  <c r="H14" i="68" s="1"/>
  <c r="H33" i="68" s="1"/>
  <c r="H35" i="68" s="1"/>
  <c r="G39" i="69"/>
  <c r="G18" i="69"/>
  <c r="I55" i="29" l="1"/>
  <c r="I60" i="29" s="1"/>
  <c r="I64" i="29" s="1"/>
  <c r="C66" i="29" s="1"/>
  <c r="C70" i="29" s="1"/>
  <c r="D31" i="62" s="1"/>
  <c r="J9" i="29"/>
  <c r="J14" i="29" s="1"/>
  <c r="J15" i="29" s="1"/>
  <c r="C16" i="29" s="1"/>
  <c r="I37" i="29"/>
  <c r="I39" i="29" s="1"/>
  <c r="I42" i="29" s="1"/>
  <c r="I44" i="29" s="1"/>
  <c r="C46" i="29" s="1"/>
  <c r="D28" i="62" s="1"/>
  <c r="I77" i="29"/>
  <c r="C79" i="29" s="1"/>
  <c r="C82" i="29" s="1"/>
  <c r="D29" i="62" s="1"/>
  <c r="H58" i="21"/>
  <c r="I106" i="29" s="1"/>
  <c r="I110" i="29" s="1"/>
  <c r="J92" i="29"/>
  <c r="J95" i="29" s="1"/>
  <c r="G40" i="69"/>
  <c r="G42" i="69" s="1"/>
  <c r="G44" i="69" s="1"/>
  <c r="I34" i="68"/>
  <c r="G8" i="69"/>
  <c r="I8" i="68" l="1"/>
  <c r="I14" i="68" s="1"/>
  <c r="I33" i="68" s="1"/>
  <c r="I35" i="68" s="1"/>
  <c r="H38" i="69"/>
  <c r="H37" i="69"/>
  <c r="H59" i="21"/>
  <c r="H39" i="69"/>
  <c r="H18" i="69"/>
  <c r="H36" i="68"/>
  <c r="H37" i="68" s="1"/>
  <c r="G12" i="69"/>
  <c r="G21" i="69" s="1"/>
  <c r="G47" i="69" s="1"/>
  <c r="D18" i="29"/>
  <c r="D30" i="62"/>
  <c r="H40" i="69" l="1"/>
  <c r="H42" i="69" s="1"/>
  <c r="H44" i="69" s="1"/>
  <c r="E18" i="29"/>
  <c r="D19" i="29"/>
  <c r="H8" i="69"/>
  <c r="I36" i="68" l="1"/>
  <c r="I37" i="68" s="1"/>
  <c r="H12" i="69"/>
  <c r="H21" i="69" s="1"/>
  <c r="H47" i="69" s="1"/>
  <c r="F18" i="29"/>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<sst xmlns="http://schemas.openxmlformats.org/spreadsheetml/2006/main" count="1981" uniqueCount="982">
  <si>
    <t>Particulars</t>
  </si>
  <si>
    <t>Total</t>
  </si>
  <si>
    <t>Y1</t>
  </si>
  <si>
    <t>Y2</t>
  </si>
  <si>
    <t>Y3</t>
  </si>
  <si>
    <t>Y4</t>
  </si>
  <si>
    <t>Y5</t>
  </si>
  <si>
    <t>Operating Profit</t>
  </si>
  <si>
    <t>Total Receipts</t>
  </si>
  <si>
    <t>Admin Expenses</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</si>
  <si>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</si>
  <si>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</si>
  <si>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</si>
  <si>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</si>
  <si>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</si>
  <si>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</si>
  <si>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</si>
  <si>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</si>
  <si>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</si>
  <si>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</si>
  <si>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</si>
  <si>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</si>
  <si>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</si>
  <si>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</si>
  <si>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</si>
  <si>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</si>
  <si>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</si>
  <si>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</si>
  <si>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</si>
  <si>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</si>
  <si>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</si>
  <si>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</si>
  <si>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</si>
  <si>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</si>
  <si>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</si>
  <si>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</si>
  <si>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</si>
  <si>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</si>
  <si>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</si>
  <si>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</si>
  <si>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</si>
  <si>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</si>
  <si>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</si>
  <si>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</si>
  <si>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</si>
  <si>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</si>
  <si>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</si>
  <si>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</si>
  <si>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</si>
  <si>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</si>
  <si>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</si>
  <si>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</si>
  <si>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</si>
  <si>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</si>
  <si>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</si>
  <si>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</si>
  <si>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</si>
  <si>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</si>
  <si>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</si>
  <si>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</si>
  <si>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</si>
  <si>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</si>
  <si>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</si>
  <si>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</si>
  <si>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</si>
  <si>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</si>
  <si>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</si>
  <si>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</si>
  <si>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</si>
  <si>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</si>
  <si>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</si>
  <si>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</si>
  <si>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</si>
  <si>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</si>
  <si>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</si>
  <si>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</si>
  <si>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</si>
  <si>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</si>
  <si>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</si>
  <si>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</si>
  <si>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</si>
  <si>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</si>
  <si>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</si>
  <si>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</si>
  <si>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</si>
  <si>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</si>
  <si>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</si>
  <si>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</si>
  <si>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</si>
  <si>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</si>
  <si>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</si>
  <si>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</si>
  <si>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</si>
  <si>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</si>
  <si>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</si>
  <si>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</si>
  <si>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</si>
  <si>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</si>
  <si>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</si>
  <si>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</si>
  <si>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</si>
  <si>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</si>
  <si>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</si>
  <si>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</si>
  <si>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</si>
  <si>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</si>
  <si>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</si>
  <si>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</si>
  <si>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</si>
  <si>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</si>
  <si>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</si>
  <si>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</si>
  <si>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</si>
  <si>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</si>
  <si>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</si>
  <si>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</si>
  <si>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</si>
  <si>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</si>
  <si>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</si>
  <si>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</si>
  <si>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</si>
  <si>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</si>
  <si>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</si>
  <si>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</si>
  <si>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</si>
  <si>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</si>
  <si>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</si>
  <si>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</si>
  <si>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Unit</t>
  </si>
  <si>
    <t>Average BEP</t>
  </si>
  <si>
    <t>Own Contribution</t>
  </si>
  <si>
    <t>Operating cost</t>
  </si>
  <si>
    <t>Profit Before Depreciation ,Interest and Tax</t>
  </si>
  <si>
    <t>Amortization</t>
  </si>
  <si>
    <t>Profit Before Interest and Tax</t>
  </si>
  <si>
    <t>Output</t>
  </si>
  <si>
    <t>Dal Mill</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</si>
  <si>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</si>
  <si>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</si>
  <si>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</si>
  <si>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</si>
  <si>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</si>
  <si>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</si>
  <si>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</si>
  <si>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</si>
  <si>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</si>
  <si>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</si>
  <si>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</si>
  <si>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</si>
  <si>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</si>
  <si>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</si>
  <si>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</si>
  <si>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</si>
  <si>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</si>
  <si>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</si>
  <si>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</si>
  <si>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</si>
  <si>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</si>
  <si>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</si>
  <si>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</si>
  <si>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</si>
  <si>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</si>
  <si>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</si>
  <si>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</si>
  <si>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</si>
  <si>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</si>
  <si>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</si>
  <si>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</si>
  <si>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</si>
  <si>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</si>
  <si>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</si>
  <si>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</si>
  <si>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</si>
  <si>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</si>
  <si>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</si>
  <si>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</si>
  <si>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</si>
  <si>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</si>
  <si>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</si>
  <si>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</si>
  <si>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</si>
  <si>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</si>
  <si>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</si>
  <si>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</si>
  <si>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</si>
  <si>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Support Staff</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</si>
  <si>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</si>
  <si>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</si>
  <si>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</si>
  <si>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</si>
  <si>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</si>
  <si>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</si>
  <si>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</si>
  <si>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</si>
  <si>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</si>
  <si>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</si>
  <si>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</si>
  <si>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</si>
  <si>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</si>
  <si>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</si>
  <si>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</si>
  <si>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</si>
  <si>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</si>
  <si>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</si>
  <si>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</si>
  <si>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</si>
  <si>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</si>
  <si>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</si>
  <si>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</si>
  <si>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</si>
  <si>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</si>
  <si>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</si>
  <si>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</si>
  <si>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</si>
  <si>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</si>
  <si>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</si>
  <si>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</si>
  <si>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</si>
  <si>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</si>
  <si>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</si>
  <si>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</si>
  <si>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</si>
  <si>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</si>
  <si>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</si>
  <si>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</si>
  <si>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</si>
  <si>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</si>
  <si>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</si>
  <si>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</si>
  <si>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</si>
  <si>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</si>
  <si>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</si>
  <si>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</si>
  <si>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</si>
  <si>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</si>
  <si>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</si>
  <si>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</si>
  <si>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</si>
  <si>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</si>
  <si>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</si>
  <si>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</si>
  <si>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</si>
  <si>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</si>
  <si>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</si>
  <si>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</si>
  <si>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</si>
  <si>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</si>
  <si>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</si>
  <si>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</si>
  <si>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</si>
  <si>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</si>
  <si>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</si>
  <si>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</si>
  <si>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</si>
  <si>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</si>
  <si>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</si>
  <si>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</si>
  <si>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</si>
  <si>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</si>
  <si>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</si>
  <si>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</si>
  <si>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</si>
  <si>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</si>
  <si>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</si>
  <si>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</si>
  <si>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</si>
  <si>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</si>
  <si>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</si>
  <si>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</si>
  <si>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</si>
  <si>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</si>
  <si>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</si>
  <si>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</si>
  <si>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</si>
  <si>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</si>
  <si>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</si>
  <si>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</si>
  <si>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</si>
  <si>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</si>
  <si>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</si>
  <si>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Taxable Income</t>
  </si>
  <si>
    <t>Year</t>
  </si>
  <si>
    <t>Loading &amp; Unloading</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</si>
  <si>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</si>
  <si>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</si>
  <si>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</si>
  <si>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</si>
  <si>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</si>
  <si>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</si>
  <si>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</si>
  <si>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</si>
  <si>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</si>
  <si>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</si>
  <si>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</si>
  <si>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</si>
  <si>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</si>
  <si>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</si>
  <si>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</si>
  <si>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</si>
  <si>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</si>
  <si>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</si>
  <si>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</si>
  <si>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</si>
  <si>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</si>
  <si>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</si>
  <si>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</si>
  <si>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</si>
  <si>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</si>
  <si>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</si>
  <si>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</si>
  <si>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</si>
  <si>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</si>
  <si>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</si>
  <si>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</si>
  <si>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</si>
  <si>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</si>
  <si>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</si>
  <si>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</si>
  <si>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</si>
  <si>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</si>
  <si>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</si>
  <si>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</si>
  <si>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</si>
  <si>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</si>
  <si>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</si>
  <si>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</si>
  <si>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</si>
  <si>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</si>
  <si>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</si>
  <si>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</si>
  <si>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</si>
  <si>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</si>
  <si>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</si>
  <si>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</si>
  <si>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</si>
  <si>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</si>
  <si>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</si>
  <si>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</si>
  <si>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</si>
  <si>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</si>
  <si>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</si>
  <si>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</si>
  <si>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</si>
  <si>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</si>
  <si>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</si>
  <si>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</si>
  <si>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</si>
  <si>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</si>
  <si>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</si>
  <si>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</si>
  <si>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</si>
  <si>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</si>
  <si>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</si>
  <si>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</si>
  <si>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</si>
  <si>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</si>
  <si>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</si>
  <si>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</si>
  <si>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</si>
  <si>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</si>
  <si>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</si>
  <si>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</si>
  <si>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</si>
  <si>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</si>
  <si>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</si>
  <si>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</si>
  <si>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</si>
  <si>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</si>
  <si>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</si>
  <si>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</si>
  <si>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</si>
  <si>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</si>
  <si>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</si>
  <si>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</si>
  <si>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</si>
  <si>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</si>
  <si>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</si>
  <si>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</si>
  <si>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</si>
  <si>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t>
  </si>
  <si>
    <t>Maximum Tax rate</t>
  </si>
  <si>
    <t>Season</t>
  </si>
  <si>
    <t>Crop</t>
  </si>
  <si>
    <t>Kharif</t>
  </si>
  <si>
    <t>Maize</t>
  </si>
  <si>
    <t>Rabbi</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</si>
  <si>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</si>
  <si>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</si>
  <si>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</si>
  <si>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</si>
  <si>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</si>
  <si>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</si>
  <si>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</si>
  <si>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</si>
  <si>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</si>
  <si>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</si>
  <si>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</si>
  <si>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</si>
  <si>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</si>
  <si>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</si>
  <si>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</si>
  <si>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</si>
  <si>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</si>
  <si>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</si>
  <si>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</si>
  <si>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</si>
  <si>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</si>
  <si>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</si>
  <si>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</si>
  <si>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</si>
  <si>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</si>
  <si>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</si>
  <si>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</si>
  <si>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</si>
  <si>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</si>
  <si>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</si>
  <si>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</si>
  <si>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</si>
  <si>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</si>
  <si>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</si>
  <si>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</si>
  <si>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</si>
  <si>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</si>
  <si>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</si>
  <si>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</si>
  <si>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</si>
  <si>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</si>
  <si>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</si>
  <si>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</si>
  <si>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</si>
  <si>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</si>
  <si>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</si>
  <si>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</si>
  <si>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</si>
  <si>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</si>
  <si>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</si>
  <si>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</si>
  <si>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</si>
  <si>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</si>
  <si>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</si>
  <si>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</si>
  <si>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</si>
  <si>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</si>
  <si>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</si>
  <si>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</si>
  <si>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</si>
  <si>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Transporation Cost/100 Kg</t>
  </si>
  <si>
    <t>Gunny Bags/100 Kg</t>
  </si>
  <si>
    <t>Total Quantity to be Processed</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</si>
  <si>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</si>
  <si>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</si>
  <si>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</si>
  <si>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</si>
  <si>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</si>
  <si>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</si>
  <si>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</si>
  <si>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</si>
  <si>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</si>
  <si>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</si>
  <si>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</si>
  <si>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</si>
  <si>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</si>
  <si>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</si>
  <si>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</si>
  <si>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</si>
  <si>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</si>
  <si>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</si>
  <si>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</si>
  <si>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</si>
  <si>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Groundnut</t>
  </si>
  <si>
    <t>Area Under Summer Cultivation ( In Acres)</t>
  </si>
  <si>
    <t>Area Under Rabbi Cultivation ( In Acres)</t>
  </si>
  <si>
    <t>Chilli</t>
  </si>
  <si>
    <t>Pomegranate</t>
  </si>
  <si>
    <t>Total No.of Members  Cultivating F &amp; V</t>
  </si>
  <si>
    <t>Total No.of Non-members  Cultivating F &amp; V</t>
  </si>
  <si>
    <t>Total No.of Members Cultivating Grain Crops</t>
  </si>
  <si>
    <t>Total No.of Non- members Cultivating Grain Crops</t>
  </si>
  <si>
    <t>Average Land Holding  per Member (Acres)</t>
  </si>
  <si>
    <t>Area Under Vegetables in Rabbi Season ( In Acres)</t>
  </si>
  <si>
    <t>Area Under Vegetables in Summer Season ( In Acres)</t>
  </si>
  <si>
    <t>Total Cultivated Land under grain Crop(Acres)</t>
  </si>
  <si>
    <t>Faclitiy 5 - Agri Input Centre</t>
  </si>
  <si>
    <t>Faclitiy 1 - Cleaning &amp; Grading</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</si>
  <si>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</si>
  <si>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</si>
  <si>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</si>
  <si>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</si>
  <si>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</si>
  <si>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</si>
  <si>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</si>
  <si>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</si>
  <si>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</si>
  <si>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</si>
  <si>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</si>
  <si>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Facility 6 - 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</si>
  <si>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</si>
  <si>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</si>
  <si>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</si>
  <si>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</si>
  <si>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</si>
  <si>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</si>
  <si>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</si>
  <si>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</si>
  <si>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</si>
  <si>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</si>
  <si>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</si>
  <si>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</si>
  <si>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</si>
  <si>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</si>
  <si>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</si>
  <si>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</si>
  <si>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</si>
  <si>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</si>
  <si>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</si>
  <si>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</si>
  <si>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</si>
  <si>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</si>
  <si>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</si>
  <si>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</si>
  <si>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</si>
  <si>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</si>
  <si>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</si>
  <si>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</si>
  <si>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</si>
  <si>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</si>
  <si>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</si>
  <si>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</si>
  <si>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</si>
  <si>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</si>
  <si>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</si>
  <si>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</si>
  <si>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</si>
  <si>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</si>
  <si>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</si>
  <si>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</si>
  <si>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</si>
  <si>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</si>
  <si>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</si>
  <si>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</si>
  <si>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</si>
  <si>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</si>
  <si>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</si>
  <si>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</si>
  <si>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</si>
  <si>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</si>
  <si>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</si>
  <si>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</si>
  <si>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</si>
  <si>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</si>
  <si>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</si>
  <si>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</si>
  <si>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</si>
  <si>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</si>
  <si>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</si>
  <si>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</si>
  <si>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</si>
  <si>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</si>
  <si>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</si>
  <si>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</si>
  <si>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</si>
  <si>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</si>
  <si>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</si>
  <si>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</si>
  <si>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</si>
  <si>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</si>
  <si>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</si>
  <si>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</si>
  <si>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</si>
  <si>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</si>
  <si>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</si>
  <si>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</si>
  <si>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</si>
  <si>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</si>
  <si>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</si>
  <si>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</si>
  <si>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</si>
  <si>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</si>
  <si>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</si>
  <si>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</si>
  <si>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</si>
  <si>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</si>
  <si>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</si>
  <si>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</si>
  <si>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</si>
  <si>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</si>
  <si>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</si>
  <si>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</si>
  <si>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</si>
  <si>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</si>
  <si>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</si>
  <si>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</si>
  <si>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</si>
  <si>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</si>
  <si>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</si>
  <si>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</si>
  <si>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</si>
  <si>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</si>
  <si>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</si>
  <si>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</si>
  <si>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</si>
  <si>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</si>
  <si>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</si>
  <si>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</si>
  <si>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</si>
  <si>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</si>
  <si>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</si>
  <si>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</si>
  <si>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</si>
  <si>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</si>
  <si>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</si>
  <si>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</si>
  <si>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</si>
  <si>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</si>
  <si>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</si>
  <si>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</si>
  <si>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</si>
  <si>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</si>
  <si>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</si>
  <si>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</si>
  <si>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</si>
  <si>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</si>
  <si>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</si>
  <si>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</si>
  <si>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</si>
  <si>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</si>
  <si>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</si>
  <si>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</si>
  <si>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</si>
  <si>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</si>
  <si>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</si>
  <si>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</si>
  <si>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</si>
  <si>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</si>
  <si>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</si>
  <si>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</si>
  <si>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</si>
  <si>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</si>
  <si>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</si>
  <si>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</si>
  <si>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</si>
  <si>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</si>
  <si>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</si>
  <si>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</si>
  <si>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</si>
  <si>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</si>
  <si>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</si>
  <si>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</si>
  <si>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</si>
  <si>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</si>
  <si>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Capacity Utilization (JW Services)</t>
  </si>
  <si>
    <t>Capacity Utilization (Captive Operations)</t>
  </si>
  <si>
    <t>Job work Services</t>
  </si>
  <si>
    <t>Total JW Receipts (Rs. Lakh)</t>
  </si>
  <si>
    <t>Captive Operations</t>
  </si>
  <si>
    <t>Grade 1</t>
  </si>
  <si>
    <t>Grade 2</t>
  </si>
  <si>
    <t>No of days of opertaion (JW Services)</t>
  </si>
  <si>
    <t>Average Land Holding per member(Ha)</t>
  </si>
  <si>
    <t>Total Cultivated Land Under F &amp; V (Ha)</t>
  </si>
  <si>
    <t>Total Land under Cultivaion ( In Ha)</t>
  </si>
  <si>
    <t>Total Annual Plant Capacity (MT)</t>
  </si>
  <si>
    <t xml:space="preserve">Job work Charges- Rs/MT </t>
  </si>
  <si>
    <t>Total Input -Chilli (MT)</t>
  </si>
  <si>
    <t>Animal Feed</t>
  </si>
  <si>
    <t>Waste</t>
  </si>
  <si>
    <t>Captive Operations Grade Output -Chilli(MT)</t>
  </si>
  <si>
    <t>Green Chilli</t>
  </si>
  <si>
    <t>Red Chilli</t>
  </si>
  <si>
    <t>Total Working days of the Facilty</t>
  </si>
  <si>
    <t>Y8</t>
  </si>
  <si>
    <t>Y9</t>
  </si>
  <si>
    <t>Y10</t>
  </si>
  <si>
    <t>#</t>
  </si>
  <si>
    <t>Rate (per MT)</t>
  </si>
  <si>
    <t>Sales (in Rs. Lakh)</t>
  </si>
  <si>
    <t>Bitter Guard</t>
  </si>
  <si>
    <t>Total Sales</t>
  </si>
  <si>
    <t>Opn Stock</t>
  </si>
  <si>
    <t>Total Production</t>
  </si>
  <si>
    <t>Sales</t>
  </si>
  <si>
    <t>Selling Price (Rs/MT)</t>
  </si>
  <si>
    <t>Value of Opening Stock (Rs. Lakh)</t>
  </si>
  <si>
    <t>Value of Closing Stock (Rs. Lakh)</t>
  </si>
  <si>
    <t>All Products</t>
  </si>
  <si>
    <t>Finished Good StocK</t>
  </si>
  <si>
    <t>Selling Schedule</t>
  </si>
  <si>
    <t>Details of Cold Storage Income</t>
  </si>
  <si>
    <t>Capacity of Cold Storage in MT per month</t>
  </si>
  <si>
    <t>Avg. storage period per cycle (days)</t>
  </si>
  <si>
    <t>No of Months</t>
  </si>
  <si>
    <t>Total Throughput Capacity (MT)</t>
  </si>
  <si>
    <t>Receipts :-</t>
  </si>
  <si>
    <t>Receipts @ 100% CU</t>
  </si>
  <si>
    <t>Qty stored (MT)</t>
  </si>
  <si>
    <t>Qty utilised for captive operations (MT)</t>
  </si>
  <si>
    <t>Qty available for renting out (MT)</t>
  </si>
  <si>
    <t>Cold Storage Rent Receipts</t>
  </si>
  <si>
    <t>Rent Per MT per month(in Rs.)</t>
  </si>
  <si>
    <t>Capative Operation</t>
  </si>
  <si>
    <t>-</t>
  </si>
  <si>
    <t>As per Schedule</t>
  </si>
  <si>
    <t>MT/MONTH</t>
  </si>
  <si>
    <t>Office &amp; Admin</t>
  </si>
  <si>
    <t>Printing &amp; Stationery</t>
  </si>
  <si>
    <t>2000 p.m.</t>
  </si>
  <si>
    <t>Telephone</t>
  </si>
  <si>
    <t>1000 p.m.</t>
  </si>
  <si>
    <t>Rent for Land</t>
  </si>
  <si>
    <t xml:space="preserve">3000 p.a. </t>
  </si>
  <si>
    <t>Internet &amp; Broadband</t>
  </si>
  <si>
    <t xml:space="preserve">1250 p.m. </t>
  </si>
  <si>
    <t>Office Electricity</t>
  </si>
  <si>
    <t>5 KVA (Power chart)</t>
  </si>
  <si>
    <t>Accounting Charges</t>
  </si>
  <si>
    <t>3000 p.m.</t>
  </si>
  <si>
    <t>Legal Expenses</t>
  </si>
  <si>
    <t>Admin Staff Salary</t>
  </si>
  <si>
    <t>Admin Manpower Chart</t>
  </si>
  <si>
    <t>Conveyance</t>
  </si>
  <si>
    <t>5000 p.m.</t>
  </si>
  <si>
    <t>Travelling Expenses</t>
  </si>
  <si>
    <t xml:space="preserve">Perodicals </t>
  </si>
  <si>
    <t xml:space="preserve">1000 p.m. </t>
  </si>
  <si>
    <t>Staff Welfare</t>
  </si>
  <si>
    <t>10% of Staff Salaries</t>
  </si>
  <si>
    <t>Total (Office and Admin Fixed Exp)</t>
  </si>
  <si>
    <t>Factory Exp (Fixed)</t>
  </si>
  <si>
    <t>Repairs</t>
  </si>
  <si>
    <t>1% of machine cost &amp; civil works</t>
  </si>
  <si>
    <t>Insurance</t>
  </si>
  <si>
    <t>0.5% of the Capital Investment</t>
  </si>
  <si>
    <t>Factory Staff Salary</t>
  </si>
  <si>
    <t>Factory Staff Manpower Chart</t>
  </si>
  <si>
    <t>Electricity</t>
  </si>
  <si>
    <t>Basis</t>
  </si>
  <si>
    <t>Preliminary Exp</t>
  </si>
  <si>
    <t xml:space="preserve"> </t>
  </si>
  <si>
    <t>Debtors</t>
  </si>
  <si>
    <t>Stock</t>
  </si>
  <si>
    <t>Creditors</t>
  </si>
  <si>
    <t>(1+2-3)</t>
  </si>
  <si>
    <t>Total Working Capital Requirement</t>
  </si>
  <si>
    <t>W.C Margin</t>
  </si>
  <si>
    <t>W.C Loan (unsecured loan from Directors)</t>
  </si>
  <si>
    <t>Job work Charges</t>
  </si>
  <si>
    <t>Cold Storage Rent Receipt</t>
  </si>
  <si>
    <t xml:space="preserve">Add: Opening Stock RM </t>
  </si>
  <si>
    <t>Less: Closing Stock RM</t>
  </si>
  <si>
    <t>Rate (Rs. per MT)</t>
  </si>
  <si>
    <t>Purchase Valule (Rs. In Lakh)</t>
  </si>
  <si>
    <t>Purchases (Rs. In Lakh)</t>
  </si>
  <si>
    <t>Purchase Schedule</t>
  </si>
  <si>
    <t>Raw Material (MT)</t>
  </si>
  <si>
    <t xml:space="preserve">Purchase </t>
  </si>
  <si>
    <t>Consumed</t>
  </si>
  <si>
    <t>Closing stock</t>
  </si>
  <si>
    <t>Prices (per MT)</t>
  </si>
  <si>
    <t>Mandi Price</t>
  </si>
  <si>
    <t>Value of Opening Stock</t>
  </si>
  <si>
    <t>Value of Closing stock</t>
  </si>
  <si>
    <t>Closing stock - RM</t>
  </si>
  <si>
    <t>Purchase Cost</t>
  </si>
  <si>
    <t>As per Purchase Schedule</t>
  </si>
  <si>
    <t>Add: Opening Stock FG</t>
  </si>
  <si>
    <t>Less: Closing Stock FG</t>
  </si>
  <si>
    <t>As per CS Sche</t>
  </si>
  <si>
    <t>Manpower Chart</t>
  </si>
  <si>
    <t>S.No.</t>
  </si>
  <si>
    <t>Dept.</t>
  </si>
  <si>
    <t>Monthly Salary</t>
  </si>
  <si>
    <t>Annual Income</t>
  </si>
  <si>
    <t>CEO</t>
  </si>
  <si>
    <t>Admin</t>
  </si>
  <si>
    <t>M</t>
  </si>
  <si>
    <t>Accounts Head</t>
  </si>
  <si>
    <t>F</t>
  </si>
  <si>
    <t>Marketing and Business Development Head</t>
  </si>
  <si>
    <t>Market BD Exec</t>
  </si>
  <si>
    <t>Admin Staff</t>
  </si>
  <si>
    <t>Security Staff</t>
  </si>
  <si>
    <t>Factory Head*</t>
  </si>
  <si>
    <t>factory</t>
  </si>
  <si>
    <t>Product and Quality Assurance Manager</t>
  </si>
  <si>
    <t>Plant Operators</t>
  </si>
  <si>
    <t>1M/1F</t>
  </si>
  <si>
    <t>Weigh Bridge Operator</t>
  </si>
  <si>
    <t>Farm Implements Helpers</t>
  </si>
  <si>
    <t>Maintenance Engineer</t>
  </si>
  <si>
    <t>Cold Store supervisor</t>
  </si>
  <si>
    <t>Helpers</t>
  </si>
  <si>
    <t>300/day</t>
  </si>
  <si>
    <t>Variable with production</t>
  </si>
  <si>
    <t>300 / Labour/ day</t>
  </si>
  <si>
    <t>Power Calc. (Fixed)</t>
  </si>
  <si>
    <t>Power Calc. (Variable)</t>
  </si>
  <si>
    <t>Power Chart</t>
  </si>
  <si>
    <t>Water</t>
  </si>
  <si>
    <t>Stocks of Safety Gear (gloves, shoes, disinfectants, etc)</t>
  </si>
  <si>
    <t xml:space="preserve">Transportation Expenses </t>
  </si>
  <si>
    <t>Repairs &amp; Maintainence</t>
  </si>
  <si>
    <t>Selling &amp; Dist Exp</t>
  </si>
  <si>
    <t>Misc Exp</t>
  </si>
  <si>
    <t>Per Labour</t>
  </si>
  <si>
    <t>Per MT</t>
  </si>
  <si>
    <t>Per day</t>
  </si>
  <si>
    <t>As per Manpower Chart</t>
  </si>
  <si>
    <t>Fixed Cost - Related to Production</t>
  </si>
  <si>
    <t>Working Files</t>
  </si>
  <si>
    <t>Less Opening Stock FG</t>
  </si>
  <si>
    <t>Add Closing Stock FG</t>
  </si>
  <si>
    <t>Days</t>
  </si>
  <si>
    <t>5.1 Closing and Opening Stock Calculation (FINISHED GOOD AND RAW MATERIAL)</t>
  </si>
  <si>
    <t>Working Capital Loan
( Unsecured Loan From Director @ 9%)</t>
  </si>
  <si>
    <t>Interest on Working Capital @ 9%</t>
  </si>
  <si>
    <t xml:space="preserve">Closing Stock </t>
  </si>
  <si>
    <t>Changes In FG Closing Stock</t>
  </si>
  <si>
    <t>Yield/Ha(In MT)</t>
  </si>
  <si>
    <t>Total Production (In MT)</t>
  </si>
  <si>
    <t>Marketable Surplus ( In MT)</t>
  </si>
  <si>
    <t>Increase/(Decrease) in CL</t>
  </si>
  <si>
    <t>(Increase)/Decrease in CA</t>
  </si>
  <si>
    <t>Company has to give credit for sale at 30 Days</t>
  </si>
  <si>
    <t>Company will receive credit from suppliers for 15 days</t>
  </si>
  <si>
    <t>25 % of Working Capital will be financed by the company and balance 75% from bank finance at 9% rate of interest</t>
  </si>
  <si>
    <t>Vegetable Cleaning &amp; Grading &amp; Cold Storage</t>
  </si>
  <si>
    <t>Working Model</t>
  </si>
  <si>
    <t>Job Work Services</t>
  </si>
  <si>
    <t>60% capacity reserved</t>
  </si>
  <si>
    <t>Capitive Operations</t>
  </si>
  <si>
    <t>40% capacity reserved</t>
  </si>
  <si>
    <t>Bldg</t>
  </si>
  <si>
    <t>P&amp;M and MFA</t>
  </si>
  <si>
    <t>Capacity of Plant- Cleaning &amp; Gradding</t>
  </si>
  <si>
    <t>Capacity Utilization</t>
  </si>
  <si>
    <t>JW Services</t>
  </si>
  <si>
    <t>Closing Stock- Raw Material</t>
  </si>
  <si>
    <t>1 days</t>
  </si>
  <si>
    <t>15 days</t>
  </si>
  <si>
    <t>Advances to Suppliers</t>
  </si>
  <si>
    <t>0 days</t>
  </si>
  <si>
    <t>Purchase Price (in Rs. Per MT)</t>
  </si>
  <si>
    <t xml:space="preserve">Job Work Charges </t>
  </si>
  <si>
    <t>Vegetable Cleaning &amp; Grading (in Rs. Per MT)</t>
  </si>
  <si>
    <t xml:space="preserve">Inflation assumed </t>
  </si>
  <si>
    <t>5% p.a.</t>
  </si>
  <si>
    <t>Sales Price (in Rs. Per MT)</t>
  </si>
  <si>
    <t>Loan Interest Rate</t>
  </si>
  <si>
    <t>Term Loan Tenure (inc. Moratorium of 12 months)</t>
  </si>
  <si>
    <t>Income Tax calc.</t>
  </si>
  <si>
    <t>Current Liability</t>
  </si>
  <si>
    <t>Sundry Debtors</t>
  </si>
  <si>
    <t>Bran</t>
  </si>
  <si>
    <t>Jari</t>
  </si>
  <si>
    <t>Total Input</t>
  </si>
  <si>
    <t>Capative Mix</t>
  </si>
  <si>
    <t>30 days</t>
  </si>
  <si>
    <t>Name</t>
  </si>
  <si>
    <t>Finished Goods  -Chilli(MT)</t>
  </si>
  <si>
    <t>Cold Storage Revenue</t>
  </si>
  <si>
    <t>Weigh Bridge Revenue Schedule</t>
  </si>
  <si>
    <t>Trucks Weighed per day</t>
  </si>
  <si>
    <t>No. of days of operation</t>
  </si>
  <si>
    <t>Charges per vehicle</t>
  </si>
  <si>
    <t>Tractors Weighed per day</t>
  </si>
  <si>
    <t xml:space="preserve">Total Revenue </t>
  </si>
  <si>
    <t>Weigh Bridge Charges</t>
  </si>
  <si>
    <t>Total expected Receipts @ 100% CU in Rs Lakh</t>
  </si>
  <si>
    <t>Gross Revenue</t>
  </si>
  <si>
    <t>0.5 TPH</t>
  </si>
  <si>
    <t>Capacity of Warehouse in MT per month</t>
  </si>
  <si>
    <t>Warehouse Storage Receipt</t>
  </si>
  <si>
    <t>Closing Stock- Finished Goods</t>
  </si>
  <si>
    <t>Pomegranate Arils</t>
  </si>
  <si>
    <t>Pomegranate Juice</t>
  </si>
  <si>
    <t>Pomegranate Powder</t>
  </si>
  <si>
    <t>Pomegranate Arils 1 Kg</t>
  </si>
  <si>
    <t>Pomegranate Juice 1 Ltrs</t>
  </si>
  <si>
    <t>Pomegranate Peel Powder1 Kg</t>
  </si>
  <si>
    <t>Quiantals</t>
  </si>
  <si>
    <t>Ltrs</t>
  </si>
  <si>
    <t>Pomegatnte</t>
  </si>
  <si>
    <t>Other Consumbales</t>
  </si>
  <si>
    <t xml:space="preserve">Horticulture  Processing </t>
  </si>
  <si>
    <t>15days</t>
  </si>
  <si>
    <t xml:space="preserve">Output retained </t>
  </si>
  <si>
    <t>Flax oil cake</t>
  </si>
  <si>
    <t>Safflower oil cake</t>
  </si>
  <si>
    <t>Mustered oil cake</t>
  </si>
  <si>
    <t>Profit after Appropriation</t>
  </si>
  <si>
    <t>Investment</t>
  </si>
  <si>
    <t>And as per Article of association of  farmer producer company shall set  aside certain amount of profits as may be decided by the Board as General Reserve, which shall be applied in the manner as may be from time to time decided by the Board.</t>
  </si>
  <si>
    <r>
      <rPr>
        <b/>
        <i/>
        <sz val="15"/>
        <color theme="1"/>
        <rFont val="Calibri"/>
        <family val="2"/>
        <scheme val="minor"/>
      </rPr>
      <t xml:space="preserve">Note : </t>
    </r>
    <r>
      <rPr>
        <b/>
        <i/>
        <sz val="11"/>
        <color theme="1"/>
        <rFont val="Calibri"/>
        <family val="2"/>
        <scheme val="minor"/>
      </rPr>
      <t xml:space="preserve">As per Section 581ZI(1)  of Companies Act, 1956 - General Reserve and surplus- Every Producer Company shall maintain a general reserve in every financial year, in addition to any reserve maintained by it as may be specified in articles. </t>
    </r>
  </si>
  <si>
    <t>3 TPH</t>
  </si>
  <si>
    <t>Total Input (Moong) (MT)</t>
  </si>
  <si>
    <t>Captive Operations Grade Output (Moong)(MT)</t>
  </si>
  <si>
    <t>Moong</t>
  </si>
  <si>
    <t>Total Input -Udad (MT)</t>
  </si>
  <si>
    <t>Captive Operations Grade Output (Udad)(MT)</t>
  </si>
  <si>
    <t>Total Input -Tur (MT)</t>
  </si>
  <si>
    <t>Captive Operations Grade Output -Tur(MT)</t>
  </si>
  <si>
    <t>Finished Goods -Tur(MT)</t>
  </si>
  <si>
    <t>Tur</t>
  </si>
  <si>
    <t>Mini Dal Mill Capacity</t>
  </si>
  <si>
    <t>Grade I</t>
  </si>
  <si>
    <t>Grade II</t>
  </si>
  <si>
    <t>Udad</t>
  </si>
  <si>
    <t>Finished Goods Moong (MT)</t>
  </si>
  <si>
    <t>Finished Goods  -Musterd (MT)</t>
  </si>
  <si>
    <t>Moong Dal</t>
  </si>
  <si>
    <t>Udad Dal</t>
  </si>
  <si>
    <t>Tur Dal</t>
  </si>
  <si>
    <t>Finished Goods  -Moong Dal (MT)</t>
  </si>
  <si>
    <t>Finished Goods  -Udad Dal(MT)</t>
  </si>
  <si>
    <t>Finished Goods  -Tur Dal(MT)</t>
  </si>
  <si>
    <t>48 months (4 years)</t>
  </si>
  <si>
    <t>Grains Grading processed per day (MT)</t>
  </si>
  <si>
    <t>No of days of opertaion (Captive Operations)
Cleaning Grading</t>
  </si>
  <si>
    <t>Captive Operations Grade Output - Grade II Moong(MT)</t>
  </si>
  <si>
    <t>Captive Operations Grade Output -Grade II Udad(MT)</t>
  </si>
  <si>
    <t>Captive Operations Grade Output -Grade II Tur(MT)</t>
  </si>
  <si>
    <t>Husk/ Cattle Feed</t>
  </si>
  <si>
    <t>Sq. Mt</t>
  </si>
  <si>
    <t>Total Input (Paddy) (MT)</t>
  </si>
  <si>
    <t>Captive Operations Grade Output (Paddy)(MT)</t>
  </si>
  <si>
    <t>Captive Operations Grade Output -Grade II Paddy(MT)</t>
  </si>
  <si>
    <t>Paddy Dal</t>
  </si>
  <si>
    <t>Finished Goods  -Paddy (MT)</t>
  </si>
  <si>
    <t>Finished Goods  -Paddy Dal (MT)</t>
  </si>
  <si>
    <t>Paddy</t>
  </si>
  <si>
    <t xml:space="preserve">Rice </t>
  </si>
  <si>
    <t xml:space="preserve">Husk </t>
  </si>
  <si>
    <t>Boken</t>
  </si>
  <si>
    <t>Fully Automatic Rice Mill</t>
  </si>
  <si>
    <t>Warehouse Expenses</t>
  </si>
  <si>
    <t>Fumigation Expenses</t>
  </si>
  <si>
    <t>Licensing Expenses</t>
  </si>
  <si>
    <t>Local Taxes</t>
  </si>
  <si>
    <t>Fixed Electricity</t>
  </si>
  <si>
    <t>3A</t>
  </si>
  <si>
    <t>3B</t>
  </si>
  <si>
    <t>Godown</t>
  </si>
  <si>
    <t>Godown Capacity</t>
  </si>
  <si>
    <t>MT/ Month</t>
  </si>
  <si>
    <t>Half Year</t>
  </si>
  <si>
    <t>Per Year</t>
  </si>
  <si>
    <t>Per Ton</t>
  </si>
  <si>
    <t>Machine Shed</t>
  </si>
  <si>
    <t>Captive Operations ( Rice Milling)</t>
  </si>
  <si>
    <t>Grain Crop Production Details</t>
  </si>
  <si>
    <t>Facility 2 - Grain Processing Unit - Rice Mill</t>
  </si>
  <si>
    <t>Faclitiy 2 - Processing Unit- Rice Mill</t>
  </si>
  <si>
    <t>Processing Unit - Rice Mill</t>
  </si>
  <si>
    <t>Qty</t>
  </si>
  <si>
    <t>100% capacity</t>
  </si>
  <si>
    <t>Charges per Acre</t>
  </si>
  <si>
    <t>Unit for charging rent</t>
  </si>
  <si>
    <t>Revenue (Rs. Per lakh)</t>
  </si>
  <si>
    <t>Machine</t>
  </si>
  <si>
    <t>(Acre)</t>
  </si>
  <si>
    <t>C.U.</t>
  </si>
  <si>
    <t>per Acre</t>
  </si>
  <si>
    <t>Harvestor Charges</t>
  </si>
  <si>
    <t>Harvester - Ashok Leyland 1.5/ Acre</t>
  </si>
  <si>
    <t>Appropriation 43% for Investment reserve ( Distribution of Dividend and Bonus Shares)</t>
  </si>
  <si>
    <t>15 Days</t>
  </si>
  <si>
    <t>70 KVA power Chart</t>
  </si>
  <si>
    <t xml:space="preserve">Solar </t>
  </si>
  <si>
    <t>10kw</t>
  </si>
  <si>
    <t>60% reserved for JW Services</t>
  </si>
  <si>
    <t>40% reserved for Captive operations</t>
  </si>
  <si>
    <t>Transformer 200 KVA</t>
  </si>
  <si>
    <t>200 KVA</t>
  </si>
  <si>
    <t>pending  for quotation</t>
  </si>
  <si>
    <t>done</t>
  </si>
  <si>
    <t>13.2 Activity 2 - Profit and loss of Grain Processing Unit</t>
  </si>
  <si>
    <t>Yield/Acres  (In MT)</t>
  </si>
  <si>
    <t xml:space="preserve">  </t>
  </si>
  <si>
    <t>Tractor</t>
  </si>
  <si>
    <t>4WD 50HP</t>
  </si>
  <si>
    <t>2 TPH</t>
  </si>
  <si>
    <t>2Tph</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</si>
</sst>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 #,##0.00_ ;_ * \-#,##0.00_ ;_ * &quot;-&quot;??_ ;_ @_ "/>
    <numFmt numFmtId="164" formatCode="_(* #,##0.00_);_(* \(#,##0.00\);_(* &quot;-&quot;??_);_(@_)"/>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00_ ;[Red]\-#,##0.00\ "/>
    <numFmt numFmtId="174" formatCode="_(* #,##0.0000_);_(* \(#,##0.0000\);_(* &quot;-&quot;??_);_(@_)"/>
    <numFmt numFmtId="175" formatCode="_ * #,##0.0_ ;_ * \-#,##0.0_ ;_ * &quot;-&quot;??_ ;_ @_ "/>
    <numFmt numFmtId="176" formatCode="0.0"/>
    <numFmt numFmtId="177" formatCode="0.000"/>
  </numFmts>
  <fonts count="89">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rgb="FF7030A0"/>
      <name val="Garamond"/>
      <family val="1"/>
    </font>
    <font>
      <sz val="11"/>
      <color theme="1"/>
      <name val="Garamond"/>
      <family val="1"/>
    </font>
    <font>
      <b/>
      <sz val="11"/>
      <color theme="1"/>
      <name val="Garamond"/>
      <family val="1"/>
    </font>
    <font>
      <b/>
      <sz val="11"/>
      <color theme="0"/>
      <name val="Garamond"/>
      <family val="1"/>
    </font>
    <font>
      <sz val="11"/>
      <name val="Garamond"/>
      <family val="1"/>
    </font>
    <font>
      <sz val="11"/>
      <color theme="0"/>
      <name val="Garamond"/>
      <family val="1"/>
    </font>
    <font>
      <b/>
      <sz val="11"/>
      <color theme="1" tint="4.9989318521683403E-2"/>
      <name val="Garamond"/>
      <family val="1"/>
    </font>
    <font>
      <b/>
      <sz val="12"/>
      <color theme="0"/>
      <name val="Garamond"/>
      <family val="1"/>
    </font>
    <font>
      <b/>
      <sz val="10"/>
      <color rgb="FF7030A0"/>
      <name val="Garamond"/>
      <family val="1"/>
    </font>
    <font>
      <sz val="10"/>
      <name val="Garamond"/>
      <family val="1"/>
    </font>
    <font>
      <b/>
      <sz val="10"/>
      <name val="Garamond"/>
      <family val="1"/>
    </font>
    <font>
      <b/>
      <sz val="10"/>
      <color theme="0"/>
      <name val="Garamond"/>
      <family val="1"/>
    </font>
    <font>
      <sz val="11"/>
      <color theme="1"/>
      <name val="Arial"/>
      <family val="2"/>
    </font>
    <font>
      <b/>
      <sz val="22"/>
      <color theme="0"/>
      <name val="Times New Roman"/>
      <family val="1"/>
    </font>
    <font>
      <b/>
      <sz val="22"/>
      <color theme="0"/>
      <name val="Calibri"/>
      <family val="2"/>
      <scheme val="minor"/>
    </font>
    <font>
      <b/>
      <sz val="20"/>
      <color theme="0"/>
      <name val="Calibri"/>
      <family val="2"/>
      <scheme val="minor"/>
    </font>
    <font>
      <b/>
      <sz val="14"/>
      <color theme="0"/>
      <name val="Calibri"/>
      <family val="2"/>
      <scheme val="minor"/>
    </font>
    <font>
      <b/>
      <sz val="15"/>
      <color theme="1"/>
      <name val="Verdana"/>
      <family val="2"/>
    </font>
    <font>
      <b/>
      <i/>
      <sz val="11"/>
      <color theme="1"/>
      <name val="Calibri"/>
      <family val="2"/>
      <scheme val="minor"/>
    </font>
    <font>
      <b/>
      <i/>
      <sz val="15"/>
      <color theme="1"/>
      <name val="Calibri"/>
      <family val="2"/>
      <scheme val="minor"/>
    </font>
    <font>
      <i/>
      <sz val="11"/>
      <color theme="1"/>
      <name val="Calibri"/>
      <family val="2"/>
      <scheme val="minor"/>
    </font>
  </fonts>
  <fills count="18">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7030A0"/>
        <bgColor indexed="64"/>
      </patternFill>
    </fill>
    <fill>
      <patternFill patternType="solid">
        <fgColor rgb="FF00B0F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A278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43" fontId="18" fillId="0" borderId="0" applyFont="0" applyFill="0" applyBorder="0" applyAlignment="0" applyProtection="0"/>
  </cellStyleXfs>
  <cellXfs count="682">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7" fillId="0" borderId="1" xfId="0" applyFont="1" applyBorder="1"/>
    <xf numFmtId="0" fontId="7"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166" fontId="0" fillId="0" borderId="0" xfId="0" applyNumberFormat="1"/>
    <xf numFmtId="166" fontId="0" fillId="0" borderId="0" xfId="3" applyFont="1"/>
    <xf numFmtId="168" fontId="13" fillId="0" borderId="1" xfId="3" applyNumberFormat="1" applyFont="1" applyBorder="1" applyAlignment="1">
      <alignment horizontal="right" vertical="center" wrapText="1"/>
    </xf>
    <xf numFmtId="0" fontId="11" fillId="2" borderId="1" xfId="0" applyFont="1" applyFill="1" applyBorder="1" applyAlignment="1">
      <alignment vertical="center" wrapText="1"/>
    </xf>
    <xf numFmtId="0" fontId="14" fillId="0" borderId="0" xfId="0" applyFont="1"/>
    <xf numFmtId="43" fontId="0" fillId="0" borderId="0" xfId="0" applyNumberFormat="1"/>
    <xf numFmtId="168" fontId="17" fillId="0" borderId="0" xfId="0" applyNumberFormat="1" applyFont="1"/>
    <xf numFmtId="38" fontId="14" fillId="0" borderId="0" xfId="0" applyNumberFormat="1" applyFont="1" applyAlignment="1">
      <alignment horizontal="left"/>
    </xf>
    <xf numFmtId="0" fontId="17" fillId="0" borderId="0" xfId="0" applyFont="1"/>
    <xf numFmtId="0" fontId="19" fillId="0" borderId="0" xfId="8" applyFont="1" applyFill="1" applyBorder="1" applyAlignment="1" applyProtection="1"/>
    <xf numFmtId="173" fontId="14" fillId="0" borderId="0" xfId="9" applyNumberFormat="1" applyFont="1" applyFill="1" applyBorder="1" applyAlignment="1">
      <alignment vertical="center"/>
    </xf>
    <xf numFmtId="168" fontId="17" fillId="0" borderId="0" xfId="3" applyNumberFormat="1" applyFont="1" applyFill="1" applyBorder="1"/>
    <xf numFmtId="0" fontId="6" fillId="0" borderId="1" xfId="0" applyFont="1" applyBorder="1" applyAlignment="1">
      <alignment wrapText="1"/>
    </xf>
    <xf numFmtId="170" fontId="4" fillId="0" borderId="1" xfId="3" applyNumberFormat="1" applyFont="1" applyFill="1" applyBorder="1" applyAlignment="1">
      <alignment wrapText="1"/>
    </xf>
    <xf numFmtId="0" fontId="4" fillId="0" borderId="1" xfId="0" applyFont="1" applyBorder="1" applyAlignment="1">
      <alignment horizontal="left" wrapText="1"/>
    </xf>
    <xf numFmtId="0" fontId="4" fillId="0" borderId="1" xfId="0" applyFont="1" applyBorder="1" applyAlignment="1">
      <alignment wrapText="1"/>
    </xf>
    <xf numFmtId="0" fontId="4" fillId="0" borderId="1" xfId="0" applyFont="1" applyBorder="1" applyAlignment="1">
      <alignment horizontal="right" wrapText="1"/>
    </xf>
    <xf numFmtId="0" fontId="4" fillId="0" borderId="1" xfId="0" applyFont="1" applyBorder="1" applyAlignment="1">
      <alignment vertical="center" wrapText="1"/>
    </xf>
    <xf numFmtId="0" fontId="6" fillId="0" borderId="1" xfId="0" applyFont="1" applyBorder="1" applyAlignment="1">
      <alignment horizontal="right" wrapText="1"/>
    </xf>
    <xf numFmtId="0" fontId="6" fillId="0" borderId="1" xfId="0" applyFont="1" applyBorder="1" applyAlignment="1">
      <alignment horizontal="left" wrapText="1"/>
    </xf>
    <xf numFmtId="0" fontId="17" fillId="0" borderId="0" xfId="0" applyFont="1" applyAlignment="1">
      <alignment vertical="center"/>
    </xf>
    <xf numFmtId="0" fontId="14" fillId="0" borderId="0" xfId="0" applyFont="1" applyAlignment="1">
      <alignment vertical="center"/>
    </xf>
    <xf numFmtId="4" fontId="17" fillId="0" borderId="0" xfId="0" applyNumberFormat="1" applyFont="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2" fontId="2" fillId="0" borderId="0" xfId="0" applyNumberFormat="1" applyFont="1"/>
    <xf numFmtId="168" fontId="14" fillId="0" borderId="0" xfId="0" applyNumberFormat="1" applyFont="1"/>
    <xf numFmtId="170" fontId="0" fillId="0" borderId="0" xfId="0" applyNumberFormat="1"/>
    <xf numFmtId="3" fontId="17"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0" fontId="23" fillId="5" borderId="1" xfId="0" applyFont="1" applyFill="1" applyBorder="1" applyAlignment="1">
      <alignment horizontal="center"/>
    </xf>
    <xf numFmtId="0" fontId="4" fillId="0" borderId="1" xfId="0" applyFont="1" applyBorder="1"/>
    <xf numFmtId="43" fontId="4" fillId="0" borderId="1" xfId="10" applyFont="1" applyFill="1" applyBorder="1"/>
    <xf numFmtId="172" fontId="4" fillId="0" borderId="1" xfId="10" applyNumberFormat="1" applyFont="1" applyFill="1" applyBorder="1"/>
    <xf numFmtId="0" fontId="6" fillId="0" borderId="1" xfId="0" applyFont="1" applyBorder="1"/>
    <xf numFmtId="164" fontId="6" fillId="0" borderId="1" xfId="10" applyNumberFormat="1" applyFont="1" applyFill="1" applyBorder="1"/>
    <xf numFmtId="172" fontId="4" fillId="0" borderId="0" xfId="10" applyNumberFormat="1" applyFont="1" applyFill="1"/>
    <xf numFmtId="175"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0" fillId="0" borderId="0" xfId="0" applyFont="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4" fontId="4" fillId="0" borderId="1" xfId="0" applyNumberFormat="1" applyFont="1" applyBorder="1"/>
    <xf numFmtId="174" fontId="4" fillId="0" borderId="1" xfId="2" applyNumberFormat="1" applyFont="1" applyBorder="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170" fontId="28" fillId="0" borderId="1" xfId="2" applyNumberFormat="1" applyFont="1" applyBorder="1" applyAlignment="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Border="1" applyAlignment="1">
      <alignment horizont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Border="1" applyAlignment="1">
      <alignment vertical="center"/>
    </xf>
    <xf numFmtId="4" fontId="29" fillId="0" borderId="1" xfId="3" applyNumberFormat="1" applyFont="1" applyFill="1" applyBorder="1" applyAlignment="1">
      <alignment vertical="center"/>
    </xf>
    <xf numFmtId="0" fontId="30" fillId="0" borderId="5" xfId="0" applyFont="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Border="1" applyAlignment="1">
      <alignment horizontal="left" vertical="center" indent="1"/>
    </xf>
    <xf numFmtId="0" fontId="29" fillId="0" borderId="5" xfId="0" applyFont="1" applyBorder="1" applyAlignment="1">
      <alignment horizontal="left" vertical="center" indent="1"/>
    </xf>
    <xf numFmtId="0" fontId="29" fillId="0" borderId="5" xfId="0" applyFont="1" applyBorder="1" applyAlignment="1">
      <alignment horizontal="left" vertical="center"/>
    </xf>
    <xf numFmtId="0" fontId="30" fillId="0" borderId="5" xfId="0" applyFont="1" applyBorder="1" applyAlignment="1">
      <alignment vertical="center"/>
    </xf>
    <xf numFmtId="0" fontId="6" fillId="0" borderId="5" xfId="0" applyFont="1" applyBorder="1" applyAlignment="1">
      <alignment vertical="center"/>
    </xf>
    <xf numFmtId="4" fontId="29" fillId="0" borderId="1" xfId="0" applyNumberFormat="1" applyFont="1" applyBorder="1" applyAlignment="1">
      <alignment vertical="center"/>
    </xf>
    <xf numFmtId="0" fontId="34" fillId="0" borderId="5" xfId="0" applyFont="1" applyBorder="1" applyAlignment="1">
      <alignment vertical="center"/>
    </xf>
    <xf numFmtId="4" fontId="35" fillId="0" borderId="1" xfId="0" applyNumberFormat="1" applyFont="1" applyBorder="1" applyAlignment="1">
      <alignment vertical="center"/>
    </xf>
    <xf numFmtId="0" fontId="36" fillId="0" borderId="5" xfId="0" applyFont="1" applyBorder="1" applyAlignment="1">
      <alignment vertical="center"/>
    </xf>
    <xf numFmtId="4" fontId="36" fillId="0" borderId="1" xfId="9" applyNumberFormat="1" applyFont="1" applyFill="1" applyBorder="1" applyAlignment="1">
      <alignment vertical="center"/>
    </xf>
    <xf numFmtId="0" fontId="36" fillId="0" borderId="6" xfId="0" applyFont="1" applyBorder="1" applyAlignment="1">
      <alignment vertical="center"/>
    </xf>
    <xf numFmtId="4" fontId="36" fillId="0" borderId="7" xfId="0" applyNumberFormat="1" applyFont="1" applyBorder="1" applyAlignment="1">
      <alignment vertical="center"/>
    </xf>
    <xf numFmtId="0" fontId="21" fillId="2" borderId="1" xfId="0" applyFont="1" applyFill="1" applyBorder="1"/>
    <xf numFmtId="0" fontId="15" fillId="0" borderId="0" xfId="6" applyFont="1" applyAlignment="1">
      <alignment horizontal="center"/>
    </xf>
    <xf numFmtId="0" fontId="15" fillId="0" borderId="0" xfId="6" applyFont="1"/>
    <xf numFmtId="0" fontId="21" fillId="5" borderId="1" xfId="0" applyFont="1" applyFill="1" applyBorder="1" applyAlignment="1">
      <alignment vertical="center"/>
    </xf>
    <xf numFmtId="0" fontId="21" fillId="5" borderId="1" xfId="0" applyFont="1" applyFill="1" applyBorder="1" applyAlignment="1">
      <alignment horizontal="center" vertical="center"/>
    </xf>
    <xf numFmtId="0" fontId="30" fillId="0" borderId="1" xfId="0" applyFont="1" applyBorder="1" applyAlignment="1">
      <alignment vertical="center"/>
    </xf>
    <xf numFmtId="0" fontId="30" fillId="0" borderId="1" xfId="0" applyFont="1" applyBorder="1" applyAlignment="1">
      <alignment horizontal="center" vertical="center"/>
    </xf>
    <xf numFmtId="0" fontId="30" fillId="0" borderId="1" xfId="0" applyFont="1" applyBorder="1"/>
    <xf numFmtId="0" fontId="29" fillId="0" borderId="1" xfId="0" applyFont="1" applyBorder="1"/>
    <xf numFmtId="0" fontId="6" fillId="2" borderId="1" xfId="0" applyFont="1" applyFill="1" applyBorder="1"/>
    <xf numFmtId="0" fontId="38" fillId="0" borderId="1" xfId="0" applyFont="1" applyBorder="1"/>
    <xf numFmtId="0" fontId="27" fillId="0" borderId="1" xfId="0" applyFont="1" applyBorder="1" applyAlignment="1">
      <alignment horizontal="left"/>
    </xf>
    <xf numFmtId="0" fontId="6" fillId="0" borderId="1" xfId="0" applyFont="1" applyBorder="1" applyAlignment="1">
      <alignment horizontal="left"/>
    </xf>
    <xf numFmtId="0" fontId="21" fillId="2" borderId="1" xfId="8" applyFont="1" applyFill="1" applyBorder="1" applyAlignment="1" applyProtection="1"/>
    <xf numFmtId="0" fontId="6" fillId="0" borderId="1" xfId="0" applyFont="1" applyBorder="1" applyAlignment="1">
      <alignment horizontal="center"/>
    </xf>
    <xf numFmtId="0" fontId="27" fillId="0" borderId="0" xfId="0" applyFont="1" applyAlignment="1">
      <alignment horizontal="left"/>
    </xf>
    <xf numFmtId="0" fontId="6" fillId="3" borderId="0" xfId="0" applyFont="1" applyFill="1" applyAlignment="1">
      <alignment horizontal="left" wrapText="1"/>
    </xf>
    <xf numFmtId="0" fontId="6" fillId="0" borderId="0" xfId="0" applyFont="1" applyAlignment="1">
      <alignment horizontal="center"/>
    </xf>
    <xf numFmtId="0" fontId="6" fillId="0" borderId="0" xfId="0" applyFont="1" applyAlignment="1">
      <alignment wrapText="1"/>
    </xf>
    <xf numFmtId="10" fontId="27" fillId="0" borderId="0" xfId="0" applyNumberFormat="1" applyFont="1"/>
    <xf numFmtId="0" fontId="27" fillId="0" borderId="0" xfId="0" applyFont="1" applyAlignment="1">
      <alignment wrapText="1"/>
    </xf>
    <xf numFmtId="9" fontId="27" fillId="0" borderId="0" xfId="0" applyNumberFormat="1" applyFont="1"/>
    <xf numFmtId="10" fontId="4" fillId="0" borderId="0" xfId="1" applyNumberFormat="1" applyFont="1" applyBorder="1"/>
    <xf numFmtId="166" fontId="27" fillId="0" borderId="0" xfId="0" applyNumberFormat="1" applyFont="1"/>
    <xf numFmtId="43" fontId="27" fillId="0" borderId="0" xfId="0" applyNumberFormat="1" applyFont="1"/>
    <xf numFmtId="1" fontId="27" fillId="0" borderId="0" xfId="0" applyNumberFormat="1" applyFont="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168" fontId="27" fillId="0" borderId="1" xfId="3"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xf numFmtId="167"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Border="1" applyAlignment="1">
      <alignmen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168" fontId="41"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6"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6" fontId="27" fillId="6" borderId="0" xfId="0" applyNumberFormat="1" applyFont="1" applyFill="1"/>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0" fontId="28" fillId="0" borderId="1" xfId="0" applyFont="1" applyBorder="1" applyAlignment="1">
      <alignment horizontal="center" vertical="center"/>
    </xf>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0" fillId="6" borderId="1" xfId="0" applyFill="1" applyBorder="1"/>
    <xf numFmtId="0" fontId="0" fillId="7" borderId="1" xfId="0" applyFill="1" applyBorder="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168" fontId="27" fillId="0" borderId="1" xfId="1" applyNumberFormat="1" applyFont="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Border="1" applyAlignment="1">
      <alignment wrapText="1"/>
    </xf>
    <xf numFmtId="171" fontId="0" fillId="0" borderId="0" xfId="0" applyNumberFormat="1"/>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Alignment="1">
      <alignment horizontal="center"/>
    </xf>
    <xf numFmtId="1" fontId="0" fillId="0" borderId="0" xfId="0" applyNumberFormat="1"/>
    <xf numFmtId="170" fontId="2" fillId="0" borderId="0" xfId="2" applyNumberFormat="1" applyFont="1" applyFill="1" applyBorder="1"/>
    <xf numFmtId="1" fontId="27" fillId="0" borderId="1" xfId="0" applyNumberFormat="1" applyFont="1" applyBorder="1"/>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9" fontId="0" fillId="0" borderId="1" xfId="0" applyNumberFormat="1" applyBorder="1"/>
    <xf numFmtId="0" fontId="27" fillId="7" borderId="1" xfId="0" applyFont="1" applyFill="1" applyBorder="1"/>
    <xf numFmtId="9" fontId="0" fillId="6" borderId="1" xfId="0" applyNumberForma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8" fillId="0" borderId="1" xfId="0" applyFont="1" applyBorder="1" applyAlignment="1">
      <alignment horizontal="left"/>
    </xf>
    <xf numFmtId="170" fontId="4" fillId="0" borderId="1" xfId="2" applyNumberFormat="1" applyFont="1" applyFill="1" applyBorder="1"/>
    <xf numFmtId="170" fontId="6" fillId="0" borderId="1" xfId="2" applyNumberFormat="1" applyFont="1" applyFill="1" applyBorder="1"/>
    <xf numFmtId="0" fontId="52" fillId="0" borderId="0" xfId="0" applyFont="1"/>
    <xf numFmtId="0" fontId="30" fillId="5" borderId="1" xfId="0" applyFont="1" applyFill="1" applyBorder="1"/>
    <xf numFmtId="9" fontId="58" fillId="7" borderId="1" xfId="0" applyNumberFormat="1" applyFont="1" applyFill="1" applyBorder="1"/>
    <xf numFmtId="171" fontId="58" fillId="7" borderId="1" xfId="0" applyNumberFormat="1" applyFont="1" applyFill="1" applyBorder="1"/>
    <xf numFmtId="0" fontId="57" fillId="0" borderId="0" xfId="0" applyFont="1"/>
    <xf numFmtId="172"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4" fillId="0" borderId="1" xfId="0" applyFont="1" applyBorder="1" applyAlignment="1">
      <alignment horizontal="center" vertical="center" wrapText="1"/>
    </xf>
    <xf numFmtId="0" fontId="12" fillId="0" borderId="1" xfId="0" applyFont="1" applyBorder="1" applyAlignment="1">
      <alignment vertical="center" wrapText="1"/>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0" fontId="56" fillId="0" borderId="1" xfId="0" applyFont="1" applyBorder="1"/>
    <xf numFmtId="0" fontId="69" fillId="0" borderId="1" xfId="0" applyFont="1" applyBorder="1"/>
    <xf numFmtId="0" fontId="70" fillId="0" borderId="1" xfId="0" applyFont="1" applyBorder="1"/>
    <xf numFmtId="0" fontId="53" fillId="0" borderId="0" xfId="0" applyFont="1" applyAlignment="1">
      <alignment horizontal="center" wrapText="1"/>
    </xf>
    <xf numFmtId="0" fontId="0" fillId="0" borderId="15" xfId="0" applyBorder="1"/>
    <xf numFmtId="0" fontId="0" fillId="0" borderId="21" xfId="0" applyBorder="1"/>
    <xf numFmtId="0" fontId="0" fillId="0" borderId="16" xfId="0" applyBorder="1"/>
    <xf numFmtId="0" fontId="71" fillId="12" borderId="1" xfId="0" applyFont="1" applyFill="1" applyBorder="1"/>
    <xf numFmtId="0" fontId="56" fillId="0" borderId="1" xfId="0" applyFont="1" applyBorder="1" applyAlignment="1">
      <alignment horizontal="center"/>
    </xf>
    <xf numFmtId="0" fontId="56" fillId="0" borderId="1" xfId="0" applyFont="1" applyBorder="1" applyAlignment="1">
      <alignment horizontal="right"/>
    </xf>
    <xf numFmtId="0" fontId="72" fillId="0" borderId="1" xfId="0" applyFont="1" applyBorder="1" applyAlignment="1">
      <alignment wrapText="1"/>
    </xf>
    <xf numFmtId="170" fontId="69" fillId="0" borderId="1" xfId="2" applyNumberFormat="1" applyFont="1" applyBorder="1"/>
    <xf numFmtId="164" fontId="70" fillId="0" borderId="1" xfId="2" applyFont="1" applyBorder="1"/>
    <xf numFmtId="0" fontId="72" fillId="0" borderId="1" xfId="0" applyFont="1" applyBorder="1"/>
    <xf numFmtId="1" fontId="72" fillId="0" borderId="1" xfId="0" applyNumberFormat="1" applyFont="1" applyBorder="1"/>
    <xf numFmtId="0" fontId="71" fillId="0" borderId="1" xfId="0" applyFont="1" applyBorder="1"/>
    <xf numFmtId="0" fontId="71" fillId="0" borderId="1" xfId="0" applyFont="1" applyBorder="1" applyAlignment="1">
      <alignment horizontal="center"/>
    </xf>
    <xf numFmtId="0" fontId="74" fillId="0" borderId="1" xfId="0" applyFont="1" applyBorder="1"/>
    <xf numFmtId="0" fontId="70" fillId="0" borderId="1" xfId="0" applyFont="1" applyBorder="1" applyAlignment="1">
      <alignment horizontal="center"/>
    </xf>
    <xf numFmtId="164" fontId="72" fillId="0" borderId="1" xfId="2" applyFont="1" applyBorder="1"/>
    <xf numFmtId="164" fontId="56" fillId="0" borderId="1" xfId="2" applyFont="1" applyBorder="1"/>
    <xf numFmtId="164" fontId="70" fillId="0" borderId="1" xfId="0" applyNumberFormat="1" applyFont="1" applyBorder="1"/>
    <xf numFmtId="1" fontId="56" fillId="0" borderId="1" xfId="0" applyNumberFormat="1" applyFont="1" applyBorder="1"/>
    <xf numFmtId="164" fontId="69" fillId="0" borderId="1" xfId="0" applyNumberFormat="1" applyFont="1" applyBorder="1"/>
    <xf numFmtId="0" fontId="0" fillId="13" borderId="0" xfId="0" applyFill="1"/>
    <xf numFmtId="0" fontId="75" fillId="12" borderId="1" xfId="0" applyFont="1" applyFill="1" applyBorder="1" applyAlignment="1">
      <alignment horizontal="center"/>
    </xf>
    <xf numFmtId="0" fontId="73" fillId="12" borderId="20" xfId="0" applyFont="1" applyFill="1" applyBorder="1"/>
    <xf numFmtId="170" fontId="72" fillId="0" borderId="1" xfId="2" applyNumberFormat="1" applyFont="1" applyFill="1" applyBorder="1" applyAlignment="1">
      <alignment horizontal="right"/>
    </xf>
    <xf numFmtId="0" fontId="72" fillId="0" borderId="11" xfId="0" applyFont="1" applyBorder="1"/>
    <xf numFmtId="13" fontId="72" fillId="0" borderId="1" xfId="2" applyNumberFormat="1" applyFont="1" applyFill="1" applyBorder="1" applyAlignment="1">
      <alignment horizontal="right"/>
    </xf>
    <xf numFmtId="164" fontId="56" fillId="0" borderId="1" xfId="0" applyNumberFormat="1" applyFont="1" applyBorder="1"/>
    <xf numFmtId="0" fontId="72" fillId="0" borderId="12" xfId="0" applyFont="1" applyBorder="1"/>
    <xf numFmtId="164" fontId="69" fillId="0" borderId="1" xfId="2" applyFont="1" applyFill="1" applyBorder="1" applyAlignment="1">
      <alignment horizontal="left"/>
    </xf>
    <xf numFmtId="0" fontId="69" fillId="0" borderId="1" xfId="0" applyFont="1" applyBorder="1" applyAlignment="1">
      <alignment horizontal="left"/>
    </xf>
    <xf numFmtId="9" fontId="69" fillId="0" borderId="1" xfId="1" applyFont="1" applyFill="1" applyBorder="1" applyAlignment="1">
      <alignment horizontal="center"/>
    </xf>
    <xf numFmtId="170" fontId="69" fillId="0" borderId="1" xfId="2" applyNumberFormat="1" applyFont="1" applyFill="1" applyBorder="1" applyAlignment="1">
      <alignment horizontal="center"/>
    </xf>
    <xf numFmtId="164" fontId="69" fillId="0" borderId="1" xfId="2" applyFont="1" applyBorder="1"/>
    <xf numFmtId="164" fontId="27" fillId="0" borderId="1" xfId="2" applyFont="1" applyBorder="1"/>
    <xf numFmtId="164" fontId="27" fillId="0" borderId="1" xfId="0" applyNumberFormat="1" applyFont="1" applyBorder="1"/>
    <xf numFmtId="164" fontId="0" fillId="0" borderId="0" xfId="0" applyNumberFormat="1"/>
    <xf numFmtId="0" fontId="76" fillId="0" borderId="1" xfId="0" applyFont="1" applyBorder="1" applyAlignment="1">
      <alignment wrapText="1"/>
    </xf>
    <xf numFmtId="0" fontId="77" fillId="0" borderId="1" xfId="0" applyFont="1" applyBorder="1" applyAlignment="1">
      <alignment wrapText="1"/>
    </xf>
    <xf numFmtId="164" fontId="77" fillId="0" borderId="1" xfId="2" applyFont="1" applyBorder="1" applyAlignment="1">
      <alignment wrapText="1"/>
    </xf>
    <xf numFmtId="0" fontId="78" fillId="0" borderId="1" xfId="0" applyFont="1" applyBorder="1" applyAlignment="1">
      <alignment wrapText="1"/>
    </xf>
    <xf numFmtId="0" fontId="77" fillId="0" borderId="0" xfId="0" applyFont="1" applyAlignment="1">
      <alignment wrapText="1"/>
    </xf>
    <xf numFmtId="164" fontId="77" fillId="0" borderId="0" xfId="2" applyFont="1" applyBorder="1" applyAlignment="1">
      <alignment wrapText="1"/>
    </xf>
    <xf numFmtId="164" fontId="77" fillId="0" borderId="1" xfId="2" applyFont="1" applyFill="1" applyBorder="1" applyAlignment="1">
      <alignment wrapText="1"/>
    </xf>
    <xf numFmtId="164" fontId="77" fillId="0" borderId="0" xfId="2" applyFont="1" applyFill="1" applyBorder="1" applyAlignment="1">
      <alignment wrapText="1"/>
    </xf>
    <xf numFmtId="164" fontId="76" fillId="0" borderId="0" xfId="0" applyNumberFormat="1" applyFont="1" applyAlignment="1">
      <alignment wrapText="1"/>
    </xf>
    <xf numFmtId="0" fontId="80" fillId="0" borderId="0" xfId="0" applyFont="1"/>
    <xf numFmtId="166" fontId="41" fillId="6" borderId="1" xfId="3" applyFont="1" applyFill="1" applyBorder="1" applyAlignment="1">
      <alignment horizontal="right" vertical="center" wrapText="1"/>
    </xf>
    <xf numFmtId="166" fontId="40" fillId="2" borderId="1" xfId="0" applyNumberFormat="1" applyFont="1" applyFill="1" applyBorder="1" applyAlignment="1">
      <alignment horizontal="center" vertical="center" wrapText="1"/>
    </xf>
    <xf numFmtId="166" fontId="29" fillId="0" borderId="1" xfId="3" applyFont="1" applyFill="1" applyBorder="1" applyAlignment="1">
      <alignment horizontal="right" vertical="center" wrapText="1"/>
    </xf>
    <xf numFmtId="166" fontId="29" fillId="6" borderId="1" xfId="2" applyNumberFormat="1" applyFont="1" applyFill="1" applyBorder="1" applyAlignment="1">
      <alignment horizontal="right" vertical="center" wrapText="1"/>
    </xf>
    <xf numFmtId="166" fontId="28" fillId="0" borderId="1" xfId="3" applyFont="1" applyBorder="1" applyAlignment="1">
      <alignment horizontal="right" vertical="center" wrapText="1"/>
    </xf>
    <xf numFmtId="166" fontId="42" fillId="6" borderId="1" xfId="3" applyFont="1" applyFill="1" applyBorder="1" applyAlignment="1">
      <alignment horizontal="right" vertical="center" wrapText="1"/>
    </xf>
    <xf numFmtId="166" fontId="42" fillId="0" borderId="1" xfId="3" applyFont="1" applyFill="1" applyBorder="1" applyAlignment="1">
      <alignment horizontal="right" vertical="center" wrapText="1"/>
    </xf>
    <xf numFmtId="166" fontId="41" fillId="6" borderId="10" xfId="3" applyFont="1" applyFill="1" applyBorder="1" applyAlignment="1">
      <alignment horizontal="right" vertical="center" wrapText="1"/>
    </xf>
    <xf numFmtId="166" fontId="42" fillId="6" borderId="10" xfId="3" applyFont="1" applyFill="1" applyBorder="1" applyAlignment="1">
      <alignment horizontal="right" vertical="center" wrapText="1"/>
    </xf>
    <xf numFmtId="3" fontId="72" fillId="0" borderId="1" xfId="0" applyNumberFormat="1" applyFont="1" applyBorder="1" applyAlignment="1">
      <alignment horizontal="center"/>
    </xf>
    <xf numFmtId="4" fontId="72" fillId="0" borderId="1" xfId="0" applyNumberFormat="1" applyFont="1" applyBorder="1"/>
    <xf numFmtId="164" fontId="72" fillId="0" borderId="1" xfId="0" applyNumberFormat="1" applyFont="1" applyBorder="1"/>
    <xf numFmtId="1" fontId="72" fillId="0" borderId="1" xfId="0" applyNumberFormat="1" applyFont="1" applyBorder="1" applyAlignment="1">
      <alignment horizontal="center"/>
    </xf>
    <xf numFmtId="2" fontId="72" fillId="0" borderId="1" xfId="0" applyNumberFormat="1" applyFont="1" applyBorder="1"/>
    <xf numFmtId="1" fontId="69" fillId="0" borderId="1" xfId="0" applyNumberFormat="1" applyFont="1" applyBorder="1" applyAlignment="1">
      <alignment horizontal="center"/>
    </xf>
    <xf numFmtId="0" fontId="69" fillId="0" borderId="1" xfId="0" applyFont="1" applyBorder="1" applyAlignment="1">
      <alignment wrapText="1"/>
    </xf>
    <xf numFmtId="2" fontId="69" fillId="0" borderId="1" xfId="0" applyNumberFormat="1" applyFont="1" applyBorder="1"/>
    <xf numFmtId="164" fontId="21" fillId="2" borderId="1" xfId="0" applyNumberFormat="1" applyFont="1" applyFill="1" applyBorder="1"/>
    <xf numFmtId="164" fontId="21" fillId="2" borderId="1" xfId="0" applyNumberFormat="1" applyFont="1" applyFill="1" applyBorder="1" applyAlignment="1">
      <alignment horizontal="center"/>
    </xf>
    <xf numFmtId="164" fontId="28" fillId="0" borderId="1" xfId="0" applyNumberFormat="1" applyFont="1" applyBorder="1"/>
    <xf numFmtId="164" fontId="28" fillId="0" borderId="1" xfId="2" applyFont="1" applyBorder="1"/>
    <xf numFmtId="164" fontId="27" fillId="0" borderId="0" xfId="2" applyFont="1"/>
    <xf numFmtId="164" fontId="45" fillId="0" borderId="0" xfId="0" applyNumberFormat="1" applyFont="1"/>
    <xf numFmtId="0" fontId="71" fillId="12" borderId="0" xfId="0" applyFont="1" applyFill="1" applyAlignment="1">
      <alignment horizontal="center"/>
    </xf>
    <xf numFmtId="0" fontId="72" fillId="0" borderId="0" xfId="0" applyFont="1"/>
    <xf numFmtId="164" fontId="72" fillId="0" borderId="0" xfId="2" applyFont="1" applyBorder="1"/>
    <xf numFmtId="1" fontId="72" fillId="0" borderId="0" xfId="0" applyNumberFormat="1" applyFont="1"/>
    <xf numFmtId="164" fontId="56" fillId="0" borderId="0" xfId="2" applyFont="1" applyBorder="1"/>
    <xf numFmtId="170" fontId="69" fillId="0" borderId="1" xfId="0" applyNumberFormat="1" applyFont="1" applyBorder="1"/>
    <xf numFmtId="170" fontId="70" fillId="0" borderId="1" xfId="0" applyNumberFormat="1" applyFont="1" applyBorder="1"/>
    <xf numFmtId="0" fontId="71" fillId="4" borderId="0" xfId="0" applyFont="1" applyFill="1" applyAlignment="1">
      <alignment horizontal="center"/>
    </xf>
    <xf numFmtId="0" fontId="69" fillId="4" borderId="0" xfId="0" applyFont="1" applyFill="1"/>
    <xf numFmtId="0" fontId="72" fillId="4" borderId="0" xfId="0" applyFont="1" applyFill="1"/>
    <xf numFmtId="1" fontId="72" fillId="4" borderId="0" xfId="0" applyNumberFormat="1" applyFont="1" applyFill="1"/>
    <xf numFmtId="170" fontId="69" fillId="4" borderId="0" xfId="0" applyNumberFormat="1" applyFont="1" applyFill="1"/>
    <xf numFmtId="164" fontId="70" fillId="4" borderId="0" xfId="0" applyNumberFormat="1" applyFont="1" applyFill="1"/>
    <xf numFmtId="164" fontId="56" fillId="4" borderId="0" xfId="2" applyFont="1" applyFill="1" applyBorder="1"/>
    <xf numFmtId="164" fontId="69" fillId="0" borderId="0" xfId="0" applyNumberFormat="1" applyFont="1"/>
    <xf numFmtId="164" fontId="56" fillId="0" borderId="1" xfId="0" applyNumberFormat="1" applyFont="1" applyBorder="1" applyAlignment="1">
      <alignment horizontal="center"/>
    </xf>
    <xf numFmtId="164" fontId="70" fillId="0" borderId="0" xfId="0" applyNumberFormat="1" applyFont="1"/>
    <xf numFmtId="164" fontId="2" fillId="0" borderId="0" xfId="0" applyNumberFormat="1" applyFont="1" applyAlignment="1">
      <alignment horizontal="center"/>
    </xf>
    <xf numFmtId="164" fontId="28" fillId="0" borderId="0" xfId="0" applyNumberFormat="1" applyFont="1" applyAlignment="1">
      <alignment horizontal="center"/>
    </xf>
    <xf numFmtId="164" fontId="27" fillId="0" borderId="1" xfId="1" applyNumberFormat="1" applyFont="1" applyBorder="1"/>
    <xf numFmtId="164" fontId="0" fillId="0" borderId="1" xfId="0" applyNumberFormat="1" applyBorder="1"/>
    <xf numFmtId="164" fontId="71" fillId="0" borderId="1" xfId="0" applyNumberFormat="1" applyFont="1" applyBorder="1" applyAlignment="1">
      <alignment horizontal="center"/>
    </xf>
    <xf numFmtId="164" fontId="0" fillId="13" borderId="0" xfId="0" applyNumberFormat="1" applyFill="1"/>
    <xf numFmtId="164" fontId="73" fillId="12" borderId="20" xfId="0" applyNumberFormat="1" applyFont="1" applyFill="1" applyBorder="1"/>
    <xf numFmtId="164" fontId="72" fillId="0" borderId="0" xfId="0" applyNumberFormat="1" applyFont="1"/>
    <xf numFmtId="164" fontId="72" fillId="0" borderId="13" xfId="0" applyNumberFormat="1" applyFont="1" applyBorder="1"/>
    <xf numFmtId="164" fontId="69" fillId="0" borderId="1" xfId="1" applyNumberFormat="1" applyFont="1" applyFill="1" applyBorder="1" applyAlignment="1">
      <alignment horizontal="center"/>
    </xf>
    <xf numFmtId="164" fontId="69" fillId="0" borderId="1" xfId="2" applyFont="1" applyFill="1" applyBorder="1" applyAlignment="1">
      <alignment horizontal="center"/>
    </xf>
    <xf numFmtId="164" fontId="71" fillId="12" borderId="0" xfId="0" applyNumberFormat="1" applyFont="1" applyFill="1" applyAlignment="1">
      <alignment horizontal="center"/>
    </xf>
    <xf numFmtId="164" fontId="71" fillId="4" borderId="0" xfId="0" applyNumberFormat="1" applyFont="1" applyFill="1" applyAlignment="1">
      <alignment horizontal="center"/>
    </xf>
    <xf numFmtId="164" fontId="69" fillId="4" borderId="0" xfId="0" applyNumberFormat="1" applyFont="1" applyFill="1"/>
    <xf numFmtId="164" fontId="72" fillId="4" borderId="0" xfId="0" applyNumberFormat="1" applyFont="1" applyFill="1"/>
    <xf numFmtId="0" fontId="77" fillId="0" borderId="1" xfId="0" applyFont="1" applyBorder="1" applyAlignment="1">
      <alignment horizontal="center" wrapText="1"/>
    </xf>
    <xf numFmtId="0" fontId="78" fillId="0" borderId="1" xfId="0" applyFont="1" applyBorder="1" applyAlignment="1">
      <alignment horizontal="center" wrapText="1"/>
    </xf>
    <xf numFmtId="164" fontId="78" fillId="0" borderId="1" xfId="2" applyFont="1" applyBorder="1" applyAlignment="1">
      <alignment horizontal="right" wrapText="1"/>
    </xf>
    <xf numFmtId="164" fontId="78" fillId="0" borderId="1" xfId="2" applyFont="1" applyBorder="1" applyAlignment="1">
      <alignment wrapText="1"/>
    </xf>
    <xf numFmtId="0" fontId="0" fillId="0" borderId="11" xfId="0" applyBorder="1"/>
    <xf numFmtId="166" fontId="0" fillId="0" borderId="0" xfId="1" applyNumberFormat="1" applyFont="1"/>
    <xf numFmtId="166" fontId="77" fillId="0" borderId="1" xfId="0" applyNumberFormat="1" applyFont="1" applyBorder="1" applyAlignment="1">
      <alignment wrapText="1"/>
    </xf>
    <xf numFmtId="166" fontId="15" fillId="0" borderId="0" xfId="6" applyNumberFormat="1" applyFont="1" applyAlignment="1">
      <alignment horizontal="center"/>
    </xf>
    <xf numFmtId="166" fontId="21" fillId="2" borderId="1" xfId="0" applyNumberFormat="1" applyFont="1" applyFill="1" applyBorder="1" applyAlignment="1">
      <alignment horizontal="center" wrapText="1"/>
    </xf>
    <xf numFmtId="166" fontId="27" fillId="0" borderId="1" xfId="0" applyNumberFormat="1" applyFont="1" applyBorder="1"/>
    <xf numFmtId="166" fontId="39" fillId="0" borderId="1" xfId="0" applyNumberFormat="1" applyFont="1" applyBorder="1" applyAlignment="1">
      <alignment horizontal="center"/>
    </xf>
    <xf numFmtId="166" fontId="29" fillId="0" borderId="1" xfId="0" applyNumberFormat="1" applyFont="1" applyBorder="1"/>
    <xf numFmtId="166" fontId="30" fillId="0" borderId="1" xfId="0" applyNumberFormat="1" applyFont="1" applyBorder="1"/>
    <xf numFmtId="166" fontId="29" fillId="0" borderId="0" xfId="0" applyNumberFormat="1" applyFont="1"/>
    <xf numFmtId="166" fontId="6" fillId="0" borderId="0" xfId="0" applyNumberFormat="1" applyFont="1"/>
    <xf numFmtId="166" fontId="4" fillId="0" borderId="0" xfId="1" applyNumberFormat="1" applyFont="1" applyBorder="1"/>
    <xf numFmtId="166" fontId="27" fillId="0" borderId="0" xfId="1" applyNumberFormat="1" applyFont="1"/>
    <xf numFmtId="166" fontId="17" fillId="0" borderId="0" xfId="0" applyNumberFormat="1" applyFont="1"/>
    <xf numFmtId="166" fontId="24" fillId="5" borderId="1" xfId="3" applyFont="1" applyFill="1" applyBorder="1" applyAlignment="1">
      <alignment horizontal="center"/>
    </xf>
    <xf numFmtId="166" fontId="29" fillId="0" borderId="1" xfId="3" applyFont="1" applyFill="1" applyBorder="1"/>
    <xf numFmtId="166" fontId="17" fillId="0" borderId="0" xfId="3" applyFont="1" applyFill="1" applyBorder="1"/>
    <xf numFmtId="166" fontId="15" fillId="0" borderId="0" xfId="6" applyNumberFormat="1" applyFont="1"/>
    <xf numFmtId="166" fontId="21" fillId="2" borderId="1" xfId="0" applyNumberFormat="1" applyFont="1" applyFill="1" applyBorder="1" applyAlignment="1">
      <alignment horizontal="center"/>
    </xf>
    <xf numFmtId="166" fontId="14" fillId="0" borderId="0" xfId="0" applyNumberFormat="1" applyFont="1"/>
    <xf numFmtId="166" fontId="14" fillId="0" borderId="0" xfId="9" applyNumberFormat="1" applyFont="1" applyFill="1" applyBorder="1" applyAlignment="1">
      <alignment vertical="center"/>
    </xf>
    <xf numFmtId="166" fontId="77" fillId="0" borderId="0" xfId="0" applyNumberFormat="1" applyFont="1" applyAlignment="1">
      <alignment wrapText="1"/>
    </xf>
    <xf numFmtId="166" fontId="77" fillId="0" borderId="0" xfId="2" applyNumberFormat="1" applyFont="1" applyFill="1" applyBorder="1" applyAlignment="1">
      <alignment wrapText="1"/>
    </xf>
    <xf numFmtId="166" fontId="76" fillId="0" borderId="0" xfId="0" applyNumberFormat="1" applyFont="1" applyAlignment="1">
      <alignment wrapText="1"/>
    </xf>
    <xf numFmtId="2" fontId="27" fillId="7" borderId="1" xfId="0" applyNumberFormat="1" applyFont="1" applyFill="1" applyBorder="1"/>
    <xf numFmtId="164" fontId="41" fillId="0" borderId="1" xfId="2" applyFont="1" applyFill="1" applyBorder="1" applyAlignment="1">
      <alignment horizontal="right" vertical="center" wrapText="1"/>
    </xf>
    <xf numFmtId="164" fontId="42" fillId="0" borderId="1" xfId="2" applyFont="1" applyFill="1" applyBorder="1" applyAlignment="1">
      <alignment horizontal="right" vertical="center" wrapText="1"/>
    </xf>
    <xf numFmtId="9" fontId="42" fillId="6" borderId="1" xfId="0" applyNumberFormat="1" applyFont="1" applyFill="1" applyBorder="1" applyAlignment="1">
      <alignment horizontal="center" vertical="center" wrapText="1"/>
    </xf>
    <xf numFmtId="173" fontId="29" fillId="0" borderId="1" xfId="9" applyNumberFormat="1" applyFont="1" applyFill="1" applyBorder="1" applyAlignment="1">
      <alignment vertical="center"/>
    </xf>
    <xf numFmtId="4" fontId="30" fillId="0" borderId="1" xfId="3" applyNumberFormat="1" applyFont="1" applyFill="1" applyBorder="1" applyAlignment="1">
      <alignment vertical="center"/>
    </xf>
    <xf numFmtId="4" fontId="30" fillId="0" borderId="1" xfId="9" applyNumberFormat="1" applyFont="1" applyFill="1" applyBorder="1" applyAlignment="1">
      <alignment vertical="center"/>
    </xf>
    <xf numFmtId="4" fontId="29" fillId="0" borderId="1" xfId="9" applyNumberFormat="1" applyFont="1" applyFill="1" applyBorder="1" applyAlignment="1">
      <alignment vertical="center"/>
    </xf>
    <xf numFmtId="4" fontId="31" fillId="0" borderId="1" xfId="3" applyNumberFormat="1" applyFont="1" applyFill="1" applyBorder="1" applyAlignment="1">
      <alignment vertical="center"/>
    </xf>
    <xf numFmtId="4" fontId="6" fillId="0" borderId="1" xfId="3" applyNumberFormat="1" applyFont="1" applyFill="1" applyBorder="1" applyAlignment="1">
      <alignment vertical="center"/>
    </xf>
    <xf numFmtId="164" fontId="43" fillId="2" borderId="1" xfId="0" applyNumberFormat="1" applyFont="1" applyFill="1" applyBorder="1" applyAlignment="1">
      <alignment horizontal="center" vertical="center" wrapText="1"/>
    </xf>
    <xf numFmtId="164" fontId="43" fillId="2" borderId="22" xfId="0" applyNumberFormat="1" applyFont="1" applyFill="1" applyBorder="1" applyAlignment="1">
      <alignment horizontal="center" vertical="center" wrapText="1"/>
    </xf>
    <xf numFmtId="164" fontId="44" fillId="0" borderId="1" xfId="2" applyFont="1" applyBorder="1" applyAlignment="1">
      <alignment vertical="center" wrapText="1"/>
    </xf>
    <xf numFmtId="164" fontId="60" fillId="7" borderId="1" xfId="0" applyNumberFormat="1" applyFont="1" applyFill="1" applyBorder="1"/>
    <xf numFmtId="164" fontId="60" fillId="0" borderId="1" xfId="0" applyNumberFormat="1" applyFont="1" applyBorder="1"/>
    <xf numFmtId="164" fontId="59" fillId="0" borderId="1" xfId="2" applyFont="1" applyBorder="1" applyAlignment="1">
      <alignment horizontal="center" vertical="center" wrapText="1"/>
    </xf>
    <xf numFmtId="164" fontId="44" fillId="0" borderId="1" xfId="3" applyNumberFormat="1" applyFont="1" applyFill="1" applyBorder="1" applyAlignment="1">
      <alignment horizontal="right" vertical="center" wrapText="1"/>
    </xf>
    <xf numFmtId="164" fontId="59" fillId="0" borderId="1" xfId="3" applyNumberFormat="1" applyFont="1" applyBorder="1" applyAlignment="1">
      <alignment horizontal="right" vertical="center" wrapText="1"/>
    </xf>
    <xf numFmtId="164" fontId="43" fillId="5" borderId="1" xfId="0" applyNumberFormat="1" applyFont="1" applyFill="1" applyBorder="1" applyAlignment="1">
      <alignment horizontal="center" vertical="center"/>
    </xf>
    <xf numFmtId="164" fontId="43" fillId="5" borderId="1" xfId="0" applyNumberFormat="1" applyFont="1" applyFill="1" applyBorder="1" applyAlignment="1">
      <alignment horizontal="center" vertical="center" wrapText="1"/>
    </xf>
    <xf numFmtId="164" fontId="44" fillId="0" borderId="1" xfId="0" applyNumberFormat="1" applyFont="1" applyBorder="1" applyAlignment="1">
      <alignment horizontal="center" vertical="center" wrapText="1"/>
    </xf>
    <xf numFmtId="164" fontId="44" fillId="0" borderId="1" xfId="0" applyNumberFormat="1" applyFont="1" applyBorder="1" applyAlignment="1">
      <alignment horizontal="left" vertical="center" wrapText="1"/>
    </xf>
    <xf numFmtId="164" fontId="12" fillId="0" borderId="1" xfId="0" applyNumberFormat="1" applyFont="1" applyBorder="1" applyAlignment="1">
      <alignment horizontal="center" vertical="center" wrapText="1"/>
    </xf>
    <xf numFmtId="164" fontId="4" fillId="0" borderId="1" xfId="3" applyNumberFormat="1" applyFont="1" applyFill="1" applyBorder="1" applyAlignment="1">
      <alignment wrapText="1"/>
    </xf>
    <xf numFmtId="164" fontId="6" fillId="0" borderId="1" xfId="3" applyNumberFormat="1" applyFont="1" applyFill="1" applyBorder="1" applyAlignment="1">
      <alignment wrapText="1"/>
    </xf>
    <xf numFmtId="164" fontId="4" fillId="0" borderId="1" xfId="0" applyNumberFormat="1" applyFont="1" applyBorder="1" applyAlignment="1">
      <alignment wrapText="1"/>
    </xf>
    <xf numFmtId="164" fontId="4" fillId="0" borderId="1" xfId="2" applyFont="1" applyFill="1" applyBorder="1" applyAlignment="1">
      <alignment wrapText="1"/>
    </xf>
    <xf numFmtId="164" fontId="4" fillId="4" borderId="1" xfId="3" applyNumberFormat="1" applyFont="1" applyFill="1" applyBorder="1" applyAlignment="1">
      <alignment wrapText="1"/>
    </xf>
    <xf numFmtId="164" fontId="6" fillId="0" borderId="1" xfId="0" applyNumberFormat="1" applyFont="1" applyBorder="1" applyAlignment="1">
      <alignment wrapText="1"/>
    </xf>
    <xf numFmtId="0" fontId="6" fillId="0" borderId="15" xfId="0" applyFont="1" applyBorder="1" applyAlignment="1">
      <alignment horizontal="center"/>
    </xf>
    <xf numFmtId="166" fontId="21" fillId="0" borderId="0" xfId="0" applyNumberFormat="1" applyFont="1" applyAlignment="1">
      <alignment horizontal="center" wrapText="1"/>
    </xf>
    <xf numFmtId="4" fontId="27" fillId="0" borderId="1" xfId="0" applyNumberFormat="1" applyFont="1" applyBorder="1"/>
    <xf numFmtId="4" fontId="27" fillId="0" borderId="1" xfId="2" applyNumberFormat="1" applyFont="1" applyBorder="1"/>
    <xf numFmtId="164" fontId="4" fillId="0" borderId="1" xfId="2" applyFont="1" applyBorder="1" applyAlignment="1">
      <alignment horizontal="center"/>
    </xf>
    <xf numFmtId="164" fontId="29" fillId="0" borderId="1" xfId="0" applyNumberFormat="1" applyFont="1" applyBorder="1" applyAlignment="1">
      <alignment horizontal="center"/>
    </xf>
    <xf numFmtId="164" fontId="0" fillId="0" borderId="1" xfId="2" applyFont="1" applyBorder="1"/>
    <xf numFmtId="164" fontId="0" fillId="0" borderId="1" xfId="2" applyFont="1" applyBorder="1" applyAlignment="1"/>
    <xf numFmtId="164" fontId="0" fillId="0" borderId="1" xfId="0" applyNumberFormat="1" applyBorder="1" applyAlignment="1">
      <alignment horizontal="center" vertical="center"/>
    </xf>
    <xf numFmtId="164" fontId="2" fillId="0" borderId="1" xfId="2" applyFont="1" applyBorder="1" applyAlignment="1"/>
    <xf numFmtId="164" fontId="2" fillId="0" borderId="1" xfId="0" applyNumberFormat="1" applyFont="1" applyBorder="1"/>
    <xf numFmtId="164" fontId="4" fillId="0" borderId="1" xfId="2" applyFont="1" applyFill="1" applyBorder="1"/>
    <xf numFmtId="164" fontId="6" fillId="0" borderId="1" xfId="2" applyFont="1" applyFill="1" applyBorder="1"/>
    <xf numFmtId="164" fontId="4" fillId="0" borderId="0" xfId="10" applyNumberFormat="1" applyFont="1" applyFill="1"/>
    <xf numFmtId="164" fontId="21" fillId="5" borderId="1" xfId="0" applyNumberFormat="1" applyFont="1" applyFill="1" applyBorder="1" applyAlignment="1">
      <alignment horizontal="center"/>
    </xf>
    <xf numFmtId="164" fontId="4" fillId="0" borderId="1" xfId="10" applyNumberFormat="1" applyFont="1" applyFill="1" applyBorder="1"/>
    <xf numFmtId="0" fontId="6" fillId="0" borderId="0" xfId="0" applyFont="1" applyAlignment="1">
      <alignment horizontal="left" wrapText="1"/>
    </xf>
    <xf numFmtId="164" fontId="6" fillId="0" borderId="0" xfId="0" applyNumberFormat="1" applyFont="1" applyAlignment="1">
      <alignment wrapText="1"/>
    </xf>
    <xf numFmtId="164" fontId="27" fillId="0" borderId="1" xfId="2" applyFont="1" applyFill="1" applyBorder="1"/>
    <xf numFmtId="164" fontId="28" fillId="0" borderId="1" xfId="2" applyFont="1" applyFill="1" applyBorder="1"/>
    <xf numFmtId="164" fontId="77" fillId="0" borderId="1" xfId="0" applyNumberFormat="1" applyFont="1" applyBorder="1" applyAlignment="1">
      <alignment wrapText="1"/>
    </xf>
    <xf numFmtId="164" fontId="77" fillId="0" borderId="15" xfId="0" applyNumberFormat="1" applyFont="1" applyBorder="1" applyAlignment="1">
      <alignment wrapText="1"/>
    </xf>
    <xf numFmtId="0" fontId="81" fillId="2" borderId="1" xfId="0" applyFont="1" applyFill="1" applyBorder="1"/>
    <xf numFmtId="164" fontId="73" fillId="14" borderId="1" xfId="0" applyNumberFormat="1" applyFont="1" applyFill="1" applyBorder="1"/>
    <xf numFmtId="0" fontId="82" fillId="14" borderId="0" xfId="0" applyFont="1" applyFill="1"/>
    <xf numFmtId="0" fontId="71" fillId="14" borderId="1" xfId="0" applyFont="1" applyFill="1" applyBorder="1" applyAlignment="1">
      <alignment horizontal="center"/>
    </xf>
    <xf numFmtId="164" fontId="71" fillId="14" borderId="1" xfId="0" applyNumberFormat="1" applyFont="1" applyFill="1" applyBorder="1" applyAlignment="1">
      <alignment horizontal="center"/>
    </xf>
    <xf numFmtId="164" fontId="71" fillId="14" borderId="0" xfId="0" applyNumberFormat="1" applyFont="1" applyFill="1" applyAlignment="1">
      <alignment horizontal="center"/>
    </xf>
    <xf numFmtId="0" fontId="83" fillId="14" borderId="0" xfId="0" applyFont="1" applyFill="1"/>
    <xf numFmtId="0" fontId="79" fillId="14" borderId="1" xfId="0" applyFont="1" applyFill="1" applyBorder="1"/>
    <xf numFmtId="0" fontId="79" fillId="14" borderId="1" xfId="0" applyFont="1" applyFill="1" applyBorder="1" applyAlignment="1">
      <alignment horizontal="center"/>
    </xf>
    <xf numFmtId="0" fontId="79" fillId="14" borderId="1" xfId="0" applyFont="1" applyFill="1" applyBorder="1" applyAlignment="1">
      <alignment horizontal="center" wrapText="1"/>
    </xf>
    <xf numFmtId="0" fontId="58" fillId="14" borderId="0" xfId="0" applyFont="1" applyFill="1"/>
    <xf numFmtId="164" fontId="58" fillId="14" borderId="0" xfId="0" applyNumberFormat="1" applyFont="1" applyFill="1"/>
    <xf numFmtId="10" fontId="0" fillId="0" borderId="1" xfId="1" applyNumberFormat="1" applyFont="1" applyBorder="1"/>
    <xf numFmtId="0" fontId="82" fillId="0" borderId="0" xfId="0" applyFont="1"/>
    <xf numFmtId="0" fontId="26" fillId="0" borderId="0" xfId="0" applyFont="1" applyAlignment="1">
      <alignment horizontal="center"/>
    </xf>
    <xf numFmtId="0" fontId="70" fillId="6" borderId="1" xfId="0" applyFont="1" applyFill="1" applyBorder="1"/>
    <xf numFmtId="0" fontId="69" fillId="12" borderId="0" xfId="0" applyFont="1" applyFill="1" applyAlignment="1">
      <alignment horizontal="center"/>
    </xf>
    <xf numFmtId="0" fontId="71" fillId="12" borderId="0" xfId="0" applyFont="1" applyFill="1"/>
    <xf numFmtId="0" fontId="69" fillId="0" borderId="0" xfId="0" applyFont="1"/>
    <xf numFmtId="0" fontId="70" fillId="0" borderId="0" xfId="0" applyFont="1" applyAlignment="1">
      <alignment horizontal="center"/>
    </xf>
    <xf numFmtId="0" fontId="70" fillId="0" borderId="0" xfId="0" applyFont="1"/>
    <xf numFmtId="0" fontId="69" fillId="0" borderId="0" xfId="0" applyFont="1" applyAlignment="1">
      <alignment horizontal="right"/>
    </xf>
    <xf numFmtId="0" fontId="69" fillId="0" borderId="0" xfId="0" applyFont="1" applyAlignment="1">
      <alignment horizontal="center"/>
    </xf>
    <xf numFmtId="10" fontId="69" fillId="0" borderId="0" xfId="0" applyNumberFormat="1" applyFont="1"/>
    <xf numFmtId="9" fontId="69" fillId="0" borderId="0" xfId="0" applyNumberFormat="1" applyFont="1"/>
    <xf numFmtId="9" fontId="56" fillId="0" borderId="0" xfId="0" applyNumberFormat="1" applyFont="1" applyAlignment="1">
      <alignment horizontal="right"/>
    </xf>
    <xf numFmtId="10" fontId="72" fillId="0" borderId="0" xfId="0" applyNumberFormat="1" applyFont="1"/>
    <xf numFmtId="0" fontId="69" fillId="6" borderId="0" xfId="0" applyFont="1" applyFill="1"/>
    <xf numFmtId="0" fontId="56" fillId="0" borderId="0" xfId="0" applyFont="1"/>
    <xf numFmtId="9" fontId="69" fillId="15" borderId="0" xfId="0" applyNumberFormat="1" applyFont="1" applyFill="1"/>
    <xf numFmtId="10" fontId="69" fillId="15" borderId="0" xfId="1" applyNumberFormat="1" applyFont="1" applyFill="1"/>
    <xf numFmtId="164" fontId="69" fillId="0" borderId="0" xfId="2" applyFont="1"/>
    <xf numFmtId="170" fontId="72" fillId="15" borderId="1" xfId="2" applyNumberFormat="1" applyFont="1" applyFill="1" applyBorder="1" applyAlignment="1">
      <alignment horizontal="right"/>
    </xf>
    <xf numFmtId="13" fontId="72" fillId="15" borderId="1" xfId="2" applyNumberFormat="1" applyFont="1" applyFill="1" applyBorder="1" applyAlignment="1">
      <alignment horizontal="right"/>
    </xf>
    <xf numFmtId="170" fontId="72" fillId="0" borderId="1" xfId="0" applyNumberFormat="1" applyFont="1" applyBorder="1"/>
    <xf numFmtId="170" fontId="72" fillId="0" borderId="11" xfId="0" applyNumberFormat="1" applyFont="1" applyBorder="1"/>
    <xf numFmtId="0" fontId="70" fillId="6" borderId="0" xfId="0" applyFont="1" applyFill="1"/>
    <xf numFmtId="170" fontId="69" fillId="16" borderId="1" xfId="2" applyNumberFormat="1" applyFont="1" applyFill="1" applyBorder="1"/>
    <xf numFmtId="0" fontId="69" fillId="16" borderId="0" xfId="0" applyFont="1" applyFill="1"/>
    <xf numFmtId="0" fontId="56" fillId="16" borderId="1" xfId="0" applyFont="1" applyFill="1" applyBorder="1"/>
    <xf numFmtId="0" fontId="73" fillId="12" borderId="1" xfId="0" applyFont="1" applyFill="1" applyBorder="1" applyAlignment="1">
      <alignment horizontal="center"/>
    </xf>
    <xf numFmtId="0" fontId="71" fillId="12" borderId="1" xfId="0" applyFont="1" applyFill="1" applyBorder="1" applyAlignment="1">
      <alignment horizontal="center"/>
    </xf>
    <xf numFmtId="0" fontId="84" fillId="14" borderId="0" xfId="0" applyFont="1" applyFill="1"/>
    <xf numFmtId="0" fontId="71" fillId="12" borderId="15" xfId="0" applyFont="1" applyFill="1" applyBorder="1" applyAlignment="1">
      <alignment horizontal="center"/>
    </xf>
    <xf numFmtId="0" fontId="72" fillId="0" borderId="15" xfId="0" applyFont="1" applyBorder="1"/>
    <xf numFmtId="164" fontId="2" fillId="0" borderId="0" xfId="0" applyNumberFormat="1" applyFont="1"/>
    <xf numFmtId="0" fontId="71" fillId="12" borderId="11" xfId="0" applyFont="1" applyFill="1" applyBorder="1" applyAlignment="1">
      <alignment horizontal="center"/>
    </xf>
    <xf numFmtId="164" fontId="72" fillId="0" borderId="11" xfId="2" applyFont="1" applyBorder="1"/>
    <xf numFmtId="164" fontId="56" fillId="0" borderId="11" xfId="2" applyFont="1" applyBorder="1"/>
    <xf numFmtId="164" fontId="2" fillId="0" borderId="11" xfId="0" applyNumberFormat="1" applyFont="1" applyBorder="1"/>
    <xf numFmtId="0" fontId="85" fillId="13" borderId="13" xfId="0" applyFont="1" applyFill="1" applyBorder="1"/>
    <xf numFmtId="0" fontId="56" fillId="0" borderId="1" xfId="0" applyFont="1" applyBorder="1" applyAlignment="1">
      <alignment wrapText="1"/>
    </xf>
    <xf numFmtId="0" fontId="53" fillId="0" borderId="0" xfId="0" applyFont="1" applyAlignment="1">
      <alignment wrapText="1"/>
    </xf>
    <xf numFmtId="0" fontId="49" fillId="0" borderId="0" xfId="0" applyFont="1" applyAlignment="1">
      <alignment wrapText="1"/>
    </xf>
    <xf numFmtId="164" fontId="46" fillId="0" borderId="0" xfId="0" applyNumberFormat="1" applyFont="1" applyAlignment="1">
      <alignment wrapText="1"/>
    </xf>
    <xf numFmtId="0" fontId="47" fillId="0" borderId="0" xfId="0" applyFont="1" applyAlignment="1">
      <alignment wrapText="1"/>
    </xf>
    <xf numFmtId="0" fontId="13" fillId="0" borderId="0" xfId="0" applyFont="1" applyAlignment="1">
      <alignment wrapText="1"/>
    </xf>
    <xf numFmtId="0" fontId="55" fillId="0" borderId="0" xfId="0" applyFont="1" applyAlignment="1">
      <alignment wrapText="1"/>
    </xf>
    <xf numFmtId="1" fontId="0" fillId="0" borderId="1" xfId="0" applyNumberFormat="1" applyBorder="1"/>
    <xf numFmtId="0" fontId="6" fillId="0" borderId="20" xfId="0" applyFont="1" applyBorder="1"/>
    <xf numFmtId="173" fontId="30" fillId="0" borderId="20" xfId="9" applyNumberFormat="1" applyFont="1" applyFill="1" applyBorder="1" applyAlignment="1">
      <alignment vertical="center"/>
    </xf>
    <xf numFmtId="0" fontId="18" fillId="0" borderId="0" xfId="0" applyFont="1"/>
    <xf numFmtId="0" fontId="18" fillId="0" borderId="23" xfId="0" applyFont="1" applyBorder="1"/>
    <xf numFmtId="0" fontId="17" fillId="0" borderId="23" xfId="0" applyFont="1" applyBorder="1"/>
    <xf numFmtId="164" fontId="0" fillId="0" borderId="0" xfId="2" applyFont="1"/>
    <xf numFmtId="164" fontId="56" fillId="4" borderId="0" xfId="0" applyNumberFormat="1" applyFont="1" applyFill="1" applyAlignment="1">
      <alignment horizontal="center"/>
    </xf>
    <xf numFmtId="9" fontId="44" fillId="7" borderId="1" xfId="3" applyNumberFormat="1" applyFont="1" applyFill="1" applyBorder="1" applyAlignment="1">
      <alignment horizontal="right" vertical="center" wrapText="1"/>
    </xf>
    <xf numFmtId="164" fontId="0" fillId="0" borderId="0" xfId="2" applyFont="1" applyBorder="1" applyAlignment="1">
      <alignment horizontal="center"/>
    </xf>
    <xf numFmtId="164" fontId="21" fillId="2" borderId="1" xfId="2" applyFont="1" applyFill="1" applyBorder="1" applyAlignment="1">
      <alignment horizontal="right"/>
    </xf>
    <xf numFmtId="164" fontId="44" fillId="0" borderId="1" xfId="2" applyFont="1" applyBorder="1" applyAlignment="1">
      <alignment horizontal="center" vertical="center" wrapText="1"/>
    </xf>
    <xf numFmtId="164" fontId="2" fillId="0" borderId="0" xfId="0" applyNumberFormat="1" applyFont="1" applyAlignment="1">
      <alignment horizontal="left" wrapText="1"/>
    </xf>
    <xf numFmtId="164" fontId="88" fillId="0" borderId="0" xfId="0" applyNumberFormat="1" applyFont="1"/>
    <xf numFmtId="164" fontId="27" fillId="0" borderId="1" xfId="0" applyNumberFormat="1" applyFont="1" applyBorder="1" applyAlignment="1">
      <alignment wrapText="1"/>
    </xf>
    <xf numFmtId="164" fontId="30" fillId="0" borderId="5" xfId="0" applyNumberFormat="1" applyFont="1" applyBorder="1" applyAlignment="1">
      <alignment horizontal="left" vertical="center" wrapText="1"/>
    </xf>
    <xf numFmtId="170" fontId="56" fillId="0" borderId="1" xfId="2" applyNumberFormat="1" applyFont="1" applyBorder="1" applyAlignment="1">
      <alignment horizontal="right"/>
    </xf>
    <xf numFmtId="170" fontId="69" fillId="0" borderId="0" xfId="2" applyNumberFormat="1" applyFont="1"/>
    <xf numFmtId="170" fontId="0" fillId="0" borderId="0" xfId="2" applyNumberFormat="1" applyFont="1"/>
    <xf numFmtId="176" fontId="72" fillId="0" borderId="1" xfId="0" applyNumberFormat="1" applyFont="1" applyBorder="1"/>
    <xf numFmtId="9" fontId="28" fillId="0" borderId="0" xfId="1" applyFont="1"/>
    <xf numFmtId="177" fontId="27" fillId="0" borderId="0" xfId="0" applyNumberFormat="1" applyFont="1"/>
    <xf numFmtId="1" fontId="70" fillId="0" borderId="1" xfId="0" applyNumberFormat="1" applyFont="1" applyBorder="1"/>
    <xf numFmtId="10" fontId="4" fillId="0" borderId="1" xfId="1" applyNumberFormat="1" applyFont="1" applyBorder="1"/>
    <xf numFmtId="10" fontId="44" fillId="0" borderId="1" xfId="1" applyNumberFormat="1" applyFont="1" applyBorder="1" applyAlignment="1">
      <alignment horizontal="center" vertical="center" wrapText="1"/>
    </xf>
    <xf numFmtId="0" fontId="2" fillId="0" borderId="0" xfId="0" applyFont="1" applyAlignment="1">
      <alignment horizontal="center" wrapText="1"/>
    </xf>
    <xf numFmtId="0" fontId="73" fillId="17" borderId="24" xfId="0" applyFont="1" applyFill="1" applyBorder="1" applyAlignment="1">
      <alignment horizontal="center" wrapText="1"/>
    </xf>
    <xf numFmtId="0" fontId="73" fillId="17" borderId="11" xfId="0" applyFont="1" applyFill="1" applyBorder="1" applyAlignment="1">
      <alignment horizontal="center" wrapText="1"/>
    </xf>
    <xf numFmtId="0" fontId="73" fillId="17" borderId="2" xfId="0" applyFont="1" applyFill="1" applyBorder="1" applyAlignment="1">
      <alignment horizontal="center" wrapText="1"/>
    </xf>
    <xf numFmtId="0" fontId="73" fillId="17" borderId="12" xfId="0" applyFont="1" applyFill="1" applyBorder="1" applyAlignment="1">
      <alignment horizontal="center" wrapText="1"/>
    </xf>
    <xf numFmtId="0" fontId="73" fillId="17" borderId="14" xfId="0" applyFont="1" applyFill="1" applyBorder="1" applyAlignment="1">
      <alignment horizontal="center" wrapText="1"/>
    </xf>
    <xf numFmtId="0" fontId="73" fillId="17" borderId="25" xfId="0" applyFont="1" applyFill="1" applyBorder="1" applyAlignment="1">
      <alignment horizontal="center" wrapText="1"/>
    </xf>
    <xf numFmtId="0" fontId="69" fillId="0" borderId="1" xfId="0" applyFont="1" applyBorder="1" applyAlignment="1">
      <alignment horizontal="right" wrapText="1"/>
    </xf>
    <xf numFmtId="9" fontId="69" fillId="0" borderId="1" xfId="0" applyNumberFormat="1" applyFont="1" applyBorder="1" applyAlignment="1">
      <alignment wrapText="1"/>
    </xf>
    <xf numFmtId="10" fontId="69" fillId="0" borderId="1" xfId="0" applyNumberFormat="1" applyFont="1" applyBorder="1" applyAlignment="1">
      <alignment wrapText="1"/>
    </xf>
    <xf numFmtId="0" fontId="70" fillId="0" borderId="1" xfId="0" applyFont="1" applyBorder="1" applyAlignment="1">
      <alignment wrapText="1"/>
    </xf>
    <xf numFmtId="2" fontId="70" fillId="0" borderId="1" xfId="0" applyNumberFormat="1" applyFont="1" applyBorder="1" applyAlignment="1">
      <alignment wrapText="1"/>
    </xf>
    <xf numFmtId="0" fontId="26" fillId="0" borderId="0" xfId="0" applyFont="1" applyAlignment="1">
      <alignment horizontal="center" wrapText="1"/>
    </xf>
    <xf numFmtId="0" fontId="68" fillId="0" borderId="1" xfId="0" applyFont="1" applyBorder="1" applyAlignment="1">
      <alignment wrapText="1"/>
    </xf>
    <xf numFmtId="170" fontId="56" fillId="0" borderId="1" xfId="2" applyNumberFormat="1" applyFont="1" applyBorder="1" applyAlignment="1">
      <alignment wrapText="1"/>
    </xf>
    <xf numFmtId="0" fontId="70" fillId="15" borderId="1" xfId="0" applyFont="1" applyFill="1" applyBorder="1" applyAlignment="1">
      <alignment wrapText="1"/>
    </xf>
    <xf numFmtId="0" fontId="56" fillId="15" borderId="1" xfId="0" applyFont="1" applyFill="1" applyBorder="1" applyAlignment="1">
      <alignment wrapText="1"/>
    </xf>
    <xf numFmtId="0" fontId="72" fillId="15" borderId="1" xfId="0" applyFont="1" applyFill="1" applyBorder="1" applyAlignment="1">
      <alignment wrapText="1"/>
    </xf>
    <xf numFmtId="0" fontId="28" fillId="0" borderId="0" xfId="0" applyFont="1" applyAlignment="1">
      <alignment horizontal="center" wrapText="1"/>
    </xf>
    <xf numFmtId="170" fontId="27" fillId="0" borderId="1" xfId="2" applyNumberFormat="1" applyFont="1" applyFill="1" applyBorder="1" applyAlignment="1">
      <alignment wrapText="1"/>
    </xf>
    <xf numFmtId="170" fontId="27" fillId="0" borderId="1" xfId="2" applyNumberFormat="1" applyFont="1" applyBorder="1" applyAlignment="1">
      <alignment wrapText="1"/>
    </xf>
    <xf numFmtId="0" fontId="28" fillId="0" borderId="0" xfId="0" applyFont="1" applyAlignment="1">
      <alignment wrapText="1"/>
    </xf>
    <xf numFmtId="0" fontId="85" fillId="13" borderId="13" xfId="0" applyFont="1" applyFill="1" applyBorder="1" applyAlignment="1">
      <alignment wrapText="1"/>
    </xf>
    <xf numFmtId="0" fontId="73" fillId="0" borderId="1" xfId="0" applyFont="1" applyBorder="1" applyAlignment="1">
      <alignment horizontal="center" wrapText="1"/>
    </xf>
    <xf numFmtId="0" fontId="70" fillId="0" borderId="1" xfId="0" applyFont="1" applyBorder="1" applyAlignment="1">
      <alignment horizontal="center" wrapText="1"/>
    </xf>
    <xf numFmtId="0" fontId="69" fillId="0" borderId="1" xfId="0" applyFont="1" applyBorder="1" applyAlignment="1">
      <alignment horizontal="center" wrapText="1"/>
    </xf>
    <xf numFmtId="0" fontId="81" fillId="2" borderId="1" xfId="0" applyFont="1" applyFill="1" applyBorder="1" applyAlignment="1">
      <alignment wrapText="1"/>
    </xf>
    <xf numFmtId="0" fontId="75" fillId="12" borderId="1" xfId="0" applyFont="1" applyFill="1" applyBorder="1" applyAlignment="1">
      <alignment horizontal="center" wrapText="1"/>
    </xf>
    <xf numFmtId="0" fontId="70" fillId="0" borderId="1" xfId="0" applyFont="1" applyBorder="1" applyAlignment="1">
      <alignment horizontal="left" wrapText="1"/>
    </xf>
    <xf numFmtId="0" fontId="69" fillId="0" borderId="1" xfId="0" applyFont="1" applyBorder="1" applyAlignment="1">
      <alignment horizontal="left" wrapText="1"/>
    </xf>
    <xf numFmtId="0" fontId="82" fillId="14" borderId="0" xfId="0" applyFont="1" applyFill="1" applyAlignment="1">
      <alignment wrapText="1"/>
    </xf>
    <xf numFmtId="0" fontId="71" fillId="14" borderId="1" xfId="0" applyFont="1" applyFill="1" applyBorder="1" applyAlignment="1">
      <alignment wrapText="1"/>
    </xf>
    <xf numFmtId="0" fontId="83" fillId="14" borderId="0" xfId="0" applyFont="1" applyFill="1" applyAlignment="1">
      <alignment wrapText="1"/>
    </xf>
    <xf numFmtId="0" fontId="2" fillId="0" borderId="0" xfId="0" applyFont="1" applyAlignment="1">
      <alignment wrapText="1"/>
    </xf>
    <xf numFmtId="0" fontId="84" fillId="14" borderId="0" xfId="0" applyFont="1" applyFill="1" applyAlignment="1">
      <alignment wrapText="1"/>
    </xf>
    <xf numFmtId="0" fontId="73" fillId="12" borderId="1" xfId="0" applyFont="1" applyFill="1" applyBorder="1" applyAlignment="1">
      <alignment horizontal="center" wrapText="1"/>
    </xf>
    <xf numFmtId="0" fontId="0" fillId="0" borderId="1" xfId="0" applyBorder="1" applyAlignment="1">
      <alignment wrapText="1"/>
    </xf>
    <xf numFmtId="170" fontId="69" fillId="0" borderId="1" xfId="2" applyNumberFormat="1" applyFont="1" applyFill="1" applyBorder="1"/>
    <xf numFmtId="164" fontId="72" fillId="0" borderId="1" xfId="2" applyFont="1" applyFill="1" applyBorder="1"/>
    <xf numFmtId="9" fontId="56" fillId="0" borderId="1" xfId="0" applyNumberFormat="1" applyFont="1" applyBorder="1" applyAlignment="1">
      <alignment horizontal="right"/>
    </xf>
    <xf numFmtId="164" fontId="29" fillId="6" borderId="1" xfId="2" applyFont="1" applyFill="1" applyBorder="1" applyAlignment="1">
      <alignment vertical="center" wrapText="1"/>
    </xf>
    <xf numFmtId="0" fontId="42" fillId="6" borderId="1" xfId="0" applyFont="1" applyFill="1" applyBorder="1" applyAlignment="1">
      <alignment horizontal="center" vertical="center" wrapText="1"/>
    </xf>
    <xf numFmtId="43" fontId="0" fillId="0" borderId="1" xfId="0" applyNumberFormat="1" applyBorder="1"/>
    <xf numFmtId="170" fontId="0" fillId="0" borderId="1" xfId="2" applyNumberFormat="1" applyFont="1" applyBorder="1"/>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Alignment="1">
      <alignment horizontal="center"/>
    </xf>
    <xf numFmtId="0" fontId="59" fillId="0" borderId="1" xfId="0" applyFont="1" applyBorder="1" applyAlignment="1">
      <alignment horizontal="center" vertical="center" wrapText="1"/>
    </xf>
    <xf numFmtId="0" fontId="2" fillId="0" borderId="0" xfId="0" applyFont="1" applyAlignment="1">
      <alignment horizontal="center"/>
    </xf>
    <xf numFmtId="0" fontId="51"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6" borderId="1"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6" fillId="0" borderId="19" xfId="0" applyFont="1" applyBorder="1" applyAlignment="1">
      <alignment horizontal="center"/>
    </xf>
    <xf numFmtId="0" fontId="2" fillId="0" borderId="0" xfId="0" applyFont="1" applyAlignment="1">
      <alignment horizontal="center" wrapText="1"/>
    </xf>
    <xf numFmtId="0" fontId="30" fillId="6" borderId="0" xfId="0" applyFont="1" applyFill="1" applyAlignment="1">
      <alignment horizontal="center"/>
    </xf>
    <xf numFmtId="0" fontId="40" fillId="2" borderId="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50" fillId="0" borderId="0" xfId="0" applyFont="1" applyAlignment="1">
      <alignment horizontal="center" wrapText="1"/>
    </xf>
    <xf numFmtId="0" fontId="30" fillId="6" borderId="13" xfId="0" applyFont="1" applyFill="1" applyBorder="1" applyAlignment="1">
      <alignment horizontal="center"/>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164" fontId="26" fillId="0" borderId="0" xfId="0" applyNumberFormat="1" applyFont="1" applyAlignment="1">
      <alignment horizontal="center"/>
    </xf>
    <xf numFmtId="164" fontId="46" fillId="0" borderId="0" xfId="0" applyNumberFormat="1" applyFont="1" applyAlignment="1">
      <alignment horizontal="left" wrapText="1"/>
    </xf>
    <xf numFmtId="164" fontId="86" fillId="0" borderId="0" xfId="0" applyNumberFormat="1" applyFont="1" applyAlignment="1">
      <alignment horizontal="left" wrapText="1"/>
    </xf>
    <xf numFmtId="164" fontId="2" fillId="0" borderId="0" xfId="0" applyNumberFormat="1" applyFont="1" applyAlignment="1">
      <alignment horizontal="left" wrapText="1"/>
    </xf>
    <xf numFmtId="0" fontId="15" fillId="0" borderId="0" xfId="6" applyFont="1" applyAlignment="1">
      <alignment horizontal="center"/>
    </xf>
    <xf numFmtId="0" fontId="26" fillId="0" borderId="17" xfId="0" applyFont="1" applyBorder="1" applyAlignment="1">
      <alignment horizontal="center"/>
    </xf>
    <xf numFmtId="0" fontId="48" fillId="0" borderId="0" xfId="0" applyFont="1" applyAlignment="1">
      <alignment horizontal="center" wrapText="1"/>
    </xf>
    <xf numFmtId="0" fontId="6" fillId="0" borderId="1" xfId="0" applyFont="1" applyBorder="1" applyAlignment="1">
      <alignment horizontal="center" wrapText="1"/>
    </xf>
    <xf numFmtId="0" fontId="13" fillId="0" borderId="0" xfId="0" applyFont="1" applyAlignment="1">
      <alignment horizontal="center" wrapText="1"/>
    </xf>
    <xf numFmtId="0" fontId="37" fillId="0" borderId="0" xfId="6" applyFont="1" applyAlignment="1">
      <alignment horizontal="center"/>
    </xf>
    <xf numFmtId="0" fontId="14" fillId="0" borderId="0" xfId="0" applyFont="1" applyAlignment="1">
      <alignment horizontal="center" vertical="center" wrapText="1"/>
    </xf>
    <xf numFmtId="166" fontId="28" fillId="0" borderId="13" xfId="0" applyNumberFormat="1" applyFont="1" applyBorder="1" applyAlignment="1">
      <alignment horizontal="center"/>
    </xf>
    <xf numFmtId="166" fontId="2" fillId="0" borderId="13" xfId="0" applyNumberFormat="1" applyFont="1" applyBorder="1" applyAlignment="1">
      <alignment horizontal="center"/>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Border="1" applyAlignment="1">
      <alignment horizontal="center"/>
    </xf>
    <xf numFmtId="0" fontId="37" fillId="0" borderId="21" xfId="0" applyFont="1" applyBorder="1" applyAlignment="1">
      <alignment horizontal="center"/>
    </xf>
    <xf numFmtId="0" fontId="37" fillId="0" borderId="16" xfId="0" applyFont="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Border="1" applyAlignment="1">
      <alignment horizontal="center"/>
    </xf>
    <xf numFmtId="0" fontId="15" fillId="0" borderId="21" xfId="0" applyFont="1" applyBorder="1" applyAlignment="1">
      <alignment horizontal="center"/>
    </xf>
    <xf numFmtId="0" fontId="15" fillId="0" borderId="16" xfId="0" applyFont="1" applyBorder="1" applyAlignment="1">
      <alignment horizontal="center"/>
    </xf>
    <xf numFmtId="0" fontId="25" fillId="0" borderId="0" xfId="0" applyFont="1" applyAlignment="1">
      <alignment horizontal="center"/>
    </xf>
    <xf numFmtId="0" fontId="56" fillId="0" borderId="0" xfId="8" applyFont="1" applyAlignment="1" applyProtection="1">
      <alignment horizontal="center" wrapText="1"/>
    </xf>
    <xf numFmtId="0" fontId="57" fillId="0" borderId="0" xfId="0" applyFont="1" applyAlignment="1">
      <alignment horizontal="center" wrapText="1"/>
    </xf>
    <xf numFmtId="0" fontId="25" fillId="0" borderId="12" xfId="0" applyFont="1" applyBorder="1" applyAlignment="1">
      <alignment horizontal="center"/>
    </xf>
    <xf numFmtId="0" fontId="25" fillId="0" borderId="13"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55" fillId="0" borderId="0" xfId="0" applyFont="1" applyAlignment="1">
      <alignment horizontal="center" wrapText="1"/>
    </xf>
    <xf numFmtId="0" fontId="73" fillId="17" borderId="2" xfId="0" applyFont="1" applyFill="1" applyBorder="1" applyAlignment="1">
      <alignment horizontal="center" wrapText="1"/>
    </xf>
    <xf numFmtId="0" fontId="73" fillId="17" borderId="14" xfId="0" applyFont="1" applyFill="1" applyBorder="1" applyAlignment="1">
      <alignment horizontal="center" wrapText="1"/>
    </xf>
    <xf numFmtId="0" fontId="73" fillId="17" borderId="15" xfId="0" applyFont="1" applyFill="1" applyBorder="1" applyAlignment="1">
      <alignment horizontal="center" wrapText="1"/>
    </xf>
    <xf numFmtId="0" fontId="73" fillId="17" borderId="21" xfId="0" applyFont="1" applyFill="1" applyBorder="1" applyAlignment="1">
      <alignment horizontal="center" wrapText="1"/>
    </xf>
    <xf numFmtId="0" fontId="85" fillId="13" borderId="0" xfId="0" applyFont="1" applyFill="1" applyAlignment="1">
      <alignment horizontal="center"/>
    </xf>
    <xf numFmtId="0" fontId="56" fillId="0" borderId="15" xfId="0" applyFont="1" applyBorder="1" applyAlignment="1">
      <alignment horizontal="center"/>
    </xf>
    <xf numFmtId="0" fontId="56" fillId="0" borderId="21" xfId="0" applyFont="1" applyBorder="1" applyAlignment="1">
      <alignment horizontal="center"/>
    </xf>
    <xf numFmtId="0" fontId="79" fillId="14" borderId="13" xfId="0" applyFont="1" applyFill="1" applyBorder="1" applyAlignment="1">
      <alignment horizontal="center" wrapText="1"/>
    </xf>
    <xf numFmtId="0" fontId="79" fillId="12" borderId="15" xfId="0" applyFont="1" applyFill="1" applyBorder="1" applyAlignment="1">
      <alignment horizontal="center" wrapText="1"/>
    </xf>
    <xf numFmtId="0" fontId="79" fillId="12" borderId="21" xfId="0" applyFont="1" applyFill="1" applyBorder="1" applyAlignment="1">
      <alignment horizontal="center" wrapText="1"/>
    </xf>
    <xf numFmtId="0" fontId="79" fillId="12" borderId="16" xfId="0" applyFont="1" applyFill="1" applyBorder="1" applyAlignment="1">
      <alignment horizontal="center" wrapText="1"/>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5">
    <dxf>
      <font>
        <color rgb="FFFF0000"/>
      </font>
    </dxf>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TB%20FPCL%20Financials%20final%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rive/RAHANGDALE%20Sir/DPR/Business%20calculator%20(1)%20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Cost"/>
      <sheetName val="Key Assumptions"/>
      <sheetName val="Capital Cost break-up"/>
      <sheetName val="Project Glance"/>
      <sheetName val="Depn"/>
      <sheetName val="Output Schedule"/>
      <sheetName val="CS-RM"/>
      <sheetName val="Purchase Schedule"/>
      <sheetName val="CS-FG"/>
      <sheetName val="Cold store"/>
      <sheetName val="Sales Schedule"/>
      <sheetName val="Farm Implement Business"/>
      <sheetName val="Production Level Support"/>
      <sheetName val="Manpower Schedule"/>
      <sheetName val="weigh Bridge"/>
      <sheetName val="Opex Schedule"/>
      <sheetName val="WC Req"/>
      <sheetName val="Ammortization"/>
      <sheetName val="WC Assessment"/>
      <sheetName val="P&amp;L"/>
      <sheetName val="Tax"/>
      <sheetName val="BS"/>
      <sheetName val="CF"/>
      <sheetName val="TL Schedule"/>
      <sheetName val="Interest"/>
      <sheetName val="ROCE and Payback"/>
      <sheetName val="NPV"/>
      <sheetName val="IRR"/>
      <sheetName val="Debt Equity"/>
      <sheetName val="Break Even"/>
      <sheetName val="DSCR"/>
      <sheetName val="BEP &amp; DSCR"/>
      <sheetName val="Sheet19"/>
      <sheetName val="Sheet6"/>
      <sheetName val="Benefit-FPO-Producer"/>
      <sheetName val="Sheet2"/>
      <sheetName val="Economic Analysis"/>
      <sheetName val="Sheet9"/>
      <sheetName val="sensitivity"/>
      <sheetName val="Member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8.Cash Flow "/>
      <sheetName val="9. Financial indiacators"/>
      <sheetName val="10.Grain Production details"/>
      <sheetName val="11.F&amp;V Crop Production details"/>
      <sheetName val="12.Facility 1 - Trading"/>
      <sheetName val="13.Facility 2 Grain Processing"/>
      <sheetName val="14. Facility 3 Warehouse"/>
      <sheetName val="15. Facility 4 Custom Hiring"/>
      <sheetName val="16.Facility 5 Agri Input"/>
      <sheetName val="17.Facility 6 Horti Processing "/>
    </sheetNames>
    <sheetDataSet>
      <sheetData sheetId="0"/>
      <sheetData sheetId="1"/>
      <sheetData sheetId="2">
        <row r="61">
          <cell r="H61">
            <v>0</v>
          </cell>
        </row>
      </sheetData>
      <sheetData sheetId="3"/>
      <sheetData sheetId="4"/>
      <sheetData sheetId="5">
        <row r="8">
          <cell r="F8">
            <v>0</v>
          </cell>
          <cell r="G8">
            <v>0</v>
          </cell>
          <cell r="H8">
            <v>0</v>
          </cell>
          <cell r="I8">
            <v>0</v>
          </cell>
          <cell r="J8">
            <v>0</v>
          </cell>
          <cell r="K8">
            <v>0</v>
          </cell>
        </row>
        <row r="17">
          <cell r="E17">
            <v>0</v>
          </cell>
          <cell r="F17">
            <v>0</v>
          </cell>
          <cell r="G17">
            <v>0</v>
          </cell>
          <cell r="H17">
            <v>0</v>
          </cell>
          <cell r="I17">
            <v>0</v>
          </cell>
          <cell r="J17">
            <v>0</v>
          </cell>
          <cell r="K17">
            <v>0</v>
          </cell>
        </row>
        <row r="18">
          <cell r="D18">
            <v>0.05</v>
          </cell>
        </row>
      </sheetData>
      <sheetData sheetId="6"/>
      <sheetData sheetId="7"/>
      <sheetData sheetId="8"/>
      <sheetData sheetId="9"/>
      <sheetData sheetId="10"/>
      <sheetData sheetId="11">
        <row r="74">
          <cell r="A74" t="str">
            <v>Onion</v>
          </cell>
          <cell r="B74">
            <v>0</v>
          </cell>
          <cell r="C74">
            <v>0</v>
          </cell>
          <cell r="D74">
            <v>0</v>
          </cell>
          <cell r="E74">
            <v>0</v>
          </cell>
          <cell r="F74">
            <v>0</v>
          </cell>
          <cell r="G74">
            <v>0</v>
          </cell>
          <cell r="H74">
            <v>0</v>
          </cell>
        </row>
        <row r="75">
          <cell r="A75" t="str">
            <v>Tomato</v>
          </cell>
          <cell r="B75">
            <v>0</v>
          </cell>
          <cell r="C75">
            <v>0</v>
          </cell>
          <cell r="D75">
            <v>0</v>
          </cell>
          <cell r="E75">
            <v>0</v>
          </cell>
          <cell r="F75">
            <v>0</v>
          </cell>
          <cell r="G75">
            <v>0</v>
          </cell>
          <cell r="H75">
            <v>0</v>
          </cell>
        </row>
        <row r="76">
          <cell r="A76" t="str">
            <v>Okra</v>
          </cell>
          <cell r="B76">
            <v>0</v>
          </cell>
          <cell r="C76">
            <v>0</v>
          </cell>
          <cell r="D76">
            <v>0</v>
          </cell>
          <cell r="E76">
            <v>0</v>
          </cell>
          <cell r="F76">
            <v>0</v>
          </cell>
          <cell r="G76">
            <v>0</v>
          </cell>
          <cell r="H76">
            <v>0</v>
          </cell>
        </row>
        <row r="77">
          <cell r="A77" t="str">
            <v>Chilli</v>
          </cell>
          <cell r="B77">
            <v>0</v>
          </cell>
          <cell r="C77">
            <v>0</v>
          </cell>
          <cell r="D77">
            <v>0</v>
          </cell>
          <cell r="E77">
            <v>0</v>
          </cell>
          <cell r="F77">
            <v>0</v>
          </cell>
          <cell r="G77">
            <v>0</v>
          </cell>
          <cell r="H77">
            <v>0</v>
          </cell>
        </row>
        <row r="78">
          <cell r="A78" t="str">
            <v>Potato</v>
          </cell>
          <cell r="B78">
            <v>0</v>
          </cell>
          <cell r="C78">
            <v>0</v>
          </cell>
          <cell r="D78">
            <v>0</v>
          </cell>
          <cell r="E78">
            <v>0</v>
          </cell>
          <cell r="F78">
            <v>0</v>
          </cell>
          <cell r="G78">
            <v>0</v>
          </cell>
          <cell r="H78">
            <v>0</v>
          </cell>
        </row>
        <row r="79">
          <cell r="A79">
            <v>0</v>
          </cell>
          <cell r="B79">
            <v>0</v>
          </cell>
          <cell r="C79">
            <v>0</v>
          </cell>
          <cell r="D79">
            <v>0</v>
          </cell>
          <cell r="E79">
            <v>0</v>
          </cell>
          <cell r="F79">
            <v>0</v>
          </cell>
          <cell r="G79">
            <v>0</v>
          </cell>
          <cell r="H79">
            <v>0</v>
          </cell>
        </row>
        <row r="80">
          <cell r="A80">
            <v>0</v>
          </cell>
          <cell r="B80">
            <v>0</v>
          </cell>
          <cell r="C80">
            <v>0</v>
          </cell>
          <cell r="D80">
            <v>0</v>
          </cell>
          <cell r="E80">
            <v>0</v>
          </cell>
          <cell r="F80">
            <v>0</v>
          </cell>
          <cell r="G80">
            <v>0</v>
          </cell>
          <cell r="H80">
            <v>0</v>
          </cell>
        </row>
        <row r="81">
          <cell r="A81">
            <v>0</v>
          </cell>
          <cell r="B81">
            <v>0</v>
          </cell>
          <cell r="C81">
            <v>0</v>
          </cell>
          <cell r="D81">
            <v>0</v>
          </cell>
          <cell r="E81">
            <v>0</v>
          </cell>
          <cell r="F81">
            <v>0</v>
          </cell>
          <cell r="G81">
            <v>0</v>
          </cell>
          <cell r="H81">
            <v>0</v>
          </cell>
        </row>
        <row r="82">
          <cell r="A82">
            <v>0</v>
          </cell>
          <cell r="B82">
            <v>0</v>
          </cell>
          <cell r="C82">
            <v>0</v>
          </cell>
          <cell r="D82">
            <v>0</v>
          </cell>
          <cell r="E82">
            <v>0</v>
          </cell>
          <cell r="F82">
            <v>0</v>
          </cell>
          <cell r="G82">
            <v>0</v>
          </cell>
          <cell r="H82">
            <v>0</v>
          </cell>
        </row>
        <row r="83">
          <cell r="A83" t="str">
            <v>Onion</v>
          </cell>
          <cell r="B83">
            <v>0</v>
          </cell>
          <cell r="C83">
            <v>0</v>
          </cell>
          <cell r="D83">
            <v>0</v>
          </cell>
          <cell r="E83">
            <v>0</v>
          </cell>
          <cell r="F83">
            <v>0</v>
          </cell>
          <cell r="G83">
            <v>0</v>
          </cell>
          <cell r="H83">
            <v>0</v>
          </cell>
        </row>
        <row r="84">
          <cell r="A84" t="str">
            <v>Tomato</v>
          </cell>
          <cell r="B84">
            <v>0</v>
          </cell>
          <cell r="C84">
            <v>0</v>
          </cell>
          <cell r="D84">
            <v>0</v>
          </cell>
          <cell r="E84">
            <v>0</v>
          </cell>
          <cell r="F84">
            <v>0</v>
          </cell>
          <cell r="G84">
            <v>0</v>
          </cell>
          <cell r="H84">
            <v>0</v>
          </cell>
        </row>
        <row r="85">
          <cell r="A85" t="str">
            <v>Okra</v>
          </cell>
          <cell r="B85">
            <v>0</v>
          </cell>
          <cell r="C85">
            <v>0</v>
          </cell>
          <cell r="D85">
            <v>0</v>
          </cell>
          <cell r="E85">
            <v>0</v>
          </cell>
          <cell r="F85">
            <v>0</v>
          </cell>
          <cell r="G85">
            <v>0</v>
          </cell>
          <cell r="H85">
            <v>0</v>
          </cell>
        </row>
        <row r="86">
          <cell r="A86" t="str">
            <v>Chilli</v>
          </cell>
          <cell r="B86">
            <v>0</v>
          </cell>
          <cell r="C86">
            <v>0</v>
          </cell>
          <cell r="D86">
            <v>0</v>
          </cell>
          <cell r="E86">
            <v>0</v>
          </cell>
          <cell r="F86">
            <v>0</v>
          </cell>
          <cell r="G86">
            <v>0</v>
          </cell>
          <cell r="H86">
            <v>0</v>
          </cell>
        </row>
        <row r="87">
          <cell r="A87" t="str">
            <v>Brinjal</v>
          </cell>
          <cell r="B87">
            <v>0</v>
          </cell>
          <cell r="C87">
            <v>0</v>
          </cell>
          <cell r="D87">
            <v>0</v>
          </cell>
          <cell r="E87">
            <v>0</v>
          </cell>
          <cell r="F87">
            <v>0</v>
          </cell>
          <cell r="G87">
            <v>0</v>
          </cell>
          <cell r="H87">
            <v>0</v>
          </cell>
        </row>
        <row r="88">
          <cell r="A88">
            <v>0</v>
          </cell>
          <cell r="B88">
            <v>0</v>
          </cell>
          <cell r="C88">
            <v>0</v>
          </cell>
          <cell r="D88">
            <v>0</v>
          </cell>
          <cell r="E88">
            <v>0</v>
          </cell>
          <cell r="F88">
            <v>0</v>
          </cell>
          <cell r="G88">
            <v>0</v>
          </cell>
          <cell r="H88">
            <v>0</v>
          </cell>
        </row>
        <row r="89">
          <cell r="A89">
            <v>0</v>
          </cell>
          <cell r="B89">
            <v>0</v>
          </cell>
          <cell r="C89">
            <v>0</v>
          </cell>
          <cell r="D89">
            <v>0</v>
          </cell>
          <cell r="E89">
            <v>0</v>
          </cell>
          <cell r="F89">
            <v>0</v>
          </cell>
          <cell r="G89">
            <v>0</v>
          </cell>
          <cell r="H89">
            <v>0</v>
          </cell>
        </row>
        <row r="90">
          <cell r="A90">
            <v>0</v>
          </cell>
          <cell r="B90">
            <v>0</v>
          </cell>
          <cell r="C90">
            <v>0</v>
          </cell>
          <cell r="D90">
            <v>0</v>
          </cell>
          <cell r="E90">
            <v>0</v>
          </cell>
          <cell r="F90">
            <v>0</v>
          </cell>
          <cell r="G90">
            <v>0</v>
          </cell>
          <cell r="H90">
            <v>0</v>
          </cell>
        </row>
        <row r="91">
          <cell r="A91">
            <v>0</v>
          </cell>
          <cell r="B91">
            <v>0</v>
          </cell>
          <cell r="C91">
            <v>0</v>
          </cell>
          <cell r="D91">
            <v>0</v>
          </cell>
          <cell r="E91">
            <v>0</v>
          </cell>
          <cell r="F91">
            <v>0</v>
          </cell>
          <cell r="G91">
            <v>0</v>
          </cell>
          <cell r="H91">
            <v>0</v>
          </cell>
        </row>
        <row r="92">
          <cell r="A92">
            <v>0</v>
          </cell>
          <cell r="B92">
            <v>0</v>
          </cell>
          <cell r="C92">
            <v>0</v>
          </cell>
          <cell r="D92">
            <v>0</v>
          </cell>
          <cell r="E92">
            <v>0</v>
          </cell>
          <cell r="F92">
            <v>0</v>
          </cell>
          <cell r="G92">
            <v>0</v>
          </cell>
          <cell r="H92">
            <v>0</v>
          </cell>
        </row>
        <row r="93">
          <cell r="A93">
            <v>0</v>
          </cell>
          <cell r="B93">
            <v>0</v>
          </cell>
          <cell r="C93">
            <v>0</v>
          </cell>
          <cell r="D93">
            <v>0</v>
          </cell>
          <cell r="E93">
            <v>0</v>
          </cell>
          <cell r="F93">
            <v>0</v>
          </cell>
          <cell r="G93">
            <v>0</v>
          </cell>
          <cell r="H93">
            <v>0</v>
          </cell>
        </row>
        <row r="94">
          <cell r="A94">
            <v>0</v>
          </cell>
          <cell r="B94">
            <v>0</v>
          </cell>
          <cell r="C94">
            <v>0</v>
          </cell>
          <cell r="D94">
            <v>0</v>
          </cell>
          <cell r="E94">
            <v>0</v>
          </cell>
          <cell r="F94">
            <v>0</v>
          </cell>
          <cell r="G94">
            <v>0</v>
          </cell>
          <cell r="H94">
            <v>0</v>
          </cell>
        </row>
        <row r="95">
          <cell r="A95" t="str">
            <v>Pomegranate</v>
          </cell>
          <cell r="B95">
            <v>0</v>
          </cell>
          <cell r="C95">
            <v>0</v>
          </cell>
          <cell r="D95">
            <v>0</v>
          </cell>
          <cell r="E95">
            <v>0</v>
          </cell>
          <cell r="F95">
            <v>0</v>
          </cell>
          <cell r="G95">
            <v>0</v>
          </cell>
          <cell r="H95">
            <v>0</v>
          </cell>
        </row>
        <row r="96">
          <cell r="A96" t="str">
            <v>Custard Apple</v>
          </cell>
          <cell r="B96">
            <v>0</v>
          </cell>
          <cell r="C96">
            <v>0</v>
          </cell>
          <cell r="D96">
            <v>0</v>
          </cell>
          <cell r="E96">
            <v>0</v>
          </cell>
          <cell r="F96">
            <v>0</v>
          </cell>
          <cell r="G96">
            <v>0</v>
          </cell>
          <cell r="H96">
            <v>0</v>
          </cell>
        </row>
        <row r="97">
          <cell r="A97" t="str">
            <v>Guava</v>
          </cell>
          <cell r="B97">
            <v>0</v>
          </cell>
          <cell r="C97">
            <v>0</v>
          </cell>
          <cell r="D97">
            <v>0</v>
          </cell>
          <cell r="E97">
            <v>0</v>
          </cell>
          <cell r="F97">
            <v>0</v>
          </cell>
          <cell r="G97">
            <v>0</v>
          </cell>
          <cell r="H97">
            <v>0</v>
          </cell>
        </row>
        <row r="98">
          <cell r="A98" t="str">
            <v>Citrus</v>
          </cell>
          <cell r="B98">
            <v>0</v>
          </cell>
          <cell r="C98">
            <v>0</v>
          </cell>
          <cell r="D98">
            <v>0</v>
          </cell>
          <cell r="E98">
            <v>0</v>
          </cell>
          <cell r="F98">
            <v>0</v>
          </cell>
          <cell r="G98">
            <v>0</v>
          </cell>
          <cell r="H98">
            <v>0</v>
          </cell>
        </row>
      </sheetData>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investopedia.com/terms/d/discountrate.asp"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5" workbookViewId="0">
      <selection activeCell="I5" sqref="I5"/>
    </sheetView>
  </sheetViews>
  <sheetFormatPr defaultColWidth="9.140625" defaultRowHeight="15"/>
  <cols>
    <col min="1" max="1" width="12.85546875" style="261" customWidth="1"/>
    <col min="2" max="2" width="56" style="261" customWidth="1"/>
    <col min="3" max="3" width="26.28515625" style="261" customWidth="1"/>
    <col min="4" max="4" width="20.7109375" style="261" customWidth="1"/>
    <col min="5" max="5" width="29.42578125" style="261" customWidth="1"/>
    <col min="6" max="16384" width="9.140625" style="261"/>
  </cols>
  <sheetData>
    <row r="1" spans="1:5" ht="26.25" customHeight="1">
      <c r="A1" s="583" t="s">
        <v>608</v>
      </c>
      <c r="B1" s="583"/>
      <c r="C1" s="583"/>
      <c r="D1" s="583"/>
      <c r="E1" s="583"/>
    </row>
    <row r="2" spans="1:5" ht="26.25" customHeight="1">
      <c r="A2" s="584" t="s">
        <v>604</v>
      </c>
      <c r="B2" s="584"/>
      <c r="C2" s="584"/>
      <c r="D2" s="584"/>
      <c r="E2" s="584"/>
    </row>
    <row r="3" spans="1:5" ht="23.25" customHeight="1">
      <c r="A3" s="585" t="s">
        <v>575</v>
      </c>
      <c r="B3" s="585"/>
      <c r="C3" s="585"/>
      <c r="D3" s="585"/>
      <c r="E3" s="585"/>
    </row>
    <row r="4" spans="1:5" ht="240.75" customHeight="1">
      <c r="A4" s="586" t="s">
        <v>609</v>
      </c>
      <c r="B4" s="586"/>
      <c r="C4" s="586"/>
      <c r="D4" s="586"/>
      <c r="E4" s="586"/>
    </row>
    <row r="5" spans="1:5" ht="23.25" customHeight="1">
      <c r="A5" s="585" t="s">
        <v>576</v>
      </c>
      <c r="B5" s="585"/>
      <c r="C5" s="585"/>
      <c r="D5" s="585"/>
      <c r="E5" s="585"/>
    </row>
    <row r="6" spans="1:5" ht="108" customHeight="1">
      <c r="A6" s="593" t="s">
        <v>647</v>
      </c>
      <c r="B6" s="594"/>
      <c r="C6" s="594"/>
      <c r="D6" s="594"/>
      <c r="E6" s="595"/>
    </row>
    <row r="7" spans="1:5" ht="23.25" customHeight="1">
      <c r="A7" s="596" t="s">
        <v>610</v>
      </c>
      <c r="B7" s="596"/>
      <c r="C7" s="596"/>
      <c r="D7" s="596"/>
      <c r="E7" s="596"/>
    </row>
    <row r="8" spans="1:5" ht="125.25" customHeight="1">
      <c r="A8" s="586" t="s">
        <v>646</v>
      </c>
      <c r="B8" s="586"/>
      <c r="C8" s="586"/>
      <c r="D8" s="586"/>
      <c r="E8" s="586"/>
    </row>
    <row r="9" spans="1:5" ht="23.25">
      <c r="A9" s="585" t="s">
        <v>601</v>
      </c>
      <c r="B9" s="585"/>
      <c r="C9" s="585"/>
      <c r="D9" s="585"/>
      <c r="E9" s="585"/>
    </row>
    <row r="10" spans="1:5">
      <c r="A10" s="261" t="s">
        <v>577</v>
      </c>
      <c r="B10" s="261" t="s">
        <v>146</v>
      </c>
    </row>
    <row r="11" spans="1:5" ht="20.25" customHeight="1">
      <c r="A11" s="264"/>
      <c r="B11" s="597" t="s">
        <v>388</v>
      </c>
      <c r="C11" s="598"/>
      <c r="D11" s="598"/>
      <c r="E11" s="599"/>
    </row>
    <row r="12" spans="1:5">
      <c r="A12" s="265"/>
      <c r="B12" s="587" t="s">
        <v>389</v>
      </c>
      <c r="C12" s="587"/>
      <c r="D12" s="587"/>
      <c r="E12" s="587"/>
    </row>
    <row r="13" spans="1:5">
      <c r="A13" s="588"/>
      <c r="B13" s="588"/>
      <c r="C13" s="588"/>
      <c r="D13" s="588"/>
      <c r="E13" s="589"/>
    </row>
    <row r="14" spans="1:5" ht="23.25">
      <c r="A14" s="585" t="s">
        <v>602</v>
      </c>
      <c r="B14" s="585"/>
      <c r="C14" s="585"/>
      <c r="D14" s="585"/>
      <c r="E14" s="585"/>
    </row>
    <row r="15" spans="1:5">
      <c r="A15" s="262" t="s">
        <v>573</v>
      </c>
      <c r="B15" s="262" t="s">
        <v>611</v>
      </c>
      <c r="C15" s="262" t="s">
        <v>441</v>
      </c>
      <c r="D15" s="262" t="s">
        <v>581</v>
      </c>
      <c r="E15" s="262" t="s">
        <v>574</v>
      </c>
    </row>
    <row r="16" spans="1:5">
      <c r="A16" s="267" t="s">
        <v>168</v>
      </c>
      <c r="B16" s="267" t="s">
        <v>612</v>
      </c>
      <c r="C16" s="267"/>
      <c r="D16" s="267"/>
      <c r="E16" s="267"/>
    </row>
    <row r="17" spans="1:5" ht="60">
      <c r="A17" s="268" t="s">
        <v>591</v>
      </c>
      <c r="B17" s="263" t="s">
        <v>598</v>
      </c>
      <c r="C17" s="263" t="s">
        <v>643</v>
      </c>
      <c r="D17" s="263" t="s">
        <v>613</v>
      </c>
      <c r="E17" s="263"/>
    </row>
    <row r="18" spans="1:5" ht="90">
      <c r="A18" s="268" t="s">
        <v>592</v>
      </c>
      <c r="B18" s="263" t="s">
        <v>578</v>
      </c>
      <c r="C18" s="263" t="s">
        <v>644</v>
      </c>
      <c r="D18" s="263" t="s">
        <v>614</v>
      </c>
      <c r="E18" s="263"/>
    </row>
    <row r="19" spans="1:5" ht="26.25" customHeight="1">
      <c r="A19" s="268" t="s">
        <v>593</v>
      </c>
      <c r="B19" s="238" t="s">
        <v>605</v>
      </c>
      <c r="C19" s="263" t="s">
        <v>615</v>
      </c>
      <c r="D19" s="263" t="s">
        <v>616</v>
      </c>
      <c r="E19" s="263" t="s">
        <v>603</v>
      </c>
    </row>
    <row r="20" spans="1:5" ht="30">
      <c r="A20" s="268" t="s">
        <v>594</v>
      </c>
      <c r="B20" s="263" t="s">
        <v>645</v>
      </c>
      <c r="C20" s="263"/>
      <c r="D20" s="263"/>
      <c r="E20" s="263"/>
    </row>
    <row r="21" spans="1:5">
      <c r="A21" s="263">
        <v>4.0999999999999996</v>
      </c>
      <c r="B21" s="263" t="s">
        <v>585</v>
      </c>
      <c r="C21" s="590" t="s">
        <v>617</v>
      </c>
      <c r="D21" s="263" t="s">
        <v>618</v>
      </c>
      <c r="E21" s="263"/>
    </row>
    <row r="22" spans="1:5" ht="30">
      <c r="A22" s="263">
        <v>4.2</v>
      </c>
      <c r="B22" s="263" t="s">
        <v>589</v>
      </c>
      <c r="C22" s="591"/>
      <c r="D22" s="263" t="s">
        <v>619</v>
      </c>
      <c r="E22" s="263"/>
    </row>
    <row r="23" spans="1:5">
      <c r="A23" s="263">
        <v>4.3</v>
      </c>
      <c r="B23" s="263" t="s">
        <v>586</v>
      </c>
      <c r="C23" s="591"/>
      <c r="D23" s="263" t="s">
        <v>620</v>
      </c>
      <c r="E23" s="263"/>
    </row>
    <row r="24" spans="1:5">
      <c r="A24" s="263">
        <v>4.4000000000000004</v>
      </c>
      <c r="B24" s="263" t="s">
        <v>587</v>
      </c>
      <c r="C24" s="591"/>
      <c r="D24" s="263" t="s">
        <v>621</v>
      </c>
      <c r="E24" s="263"/>
    </row>
    <row r="25" spans="1:5">
      <c r="A25" s="263">
        <v>4.5</v>
      </c>
      <c r="B25" s="263" t="s">
        <v>588</v>
      </c>
      <c r="C25" s="591"/>
      <c r="D25" s="263" t="s">
        <v>622</v>
      </c>
      <c r="E25" s="263"/>
    </row>
    <row r="26" spans="1:5">
      <c r="A26" s="263">
        <v>4.5999999999999996</v>
      </c>
      <c r="B26" s="263" t="s">
        <v>590</v>
      </c>
      <c r="C26" s="592"/>
      <c r="D26" s="263" t="s">
        <v>623</v>
      </c>
      <c r="E26" s="263"/>
    </row>
    <row r="27" spans="1:5" ht="45">
      <c r="A27" s="268" t="s">
        <v>595</v>
      </c>
      <c r="B27" s="263" t="s">
        <v>579</v>
      </c>
      <c r="C27" s="263" t="s">
        <v>624</v>
      </c>
      <c r="D27" s="263" t="s">
        <v>649</v>
      </c>
      <c r="E27" s="263"/>
    </row>
    <row r="28" spans="1:5" ht="60">
      <c r="A28" s="268" t="s">
        <v>596</v>
      </c>
      <c r="B28" s="263" t="s">
        <v>625</v>
      </c>
      <c r="C28" s="263" t="s">
        <v>626</v>
      </c>
      <c r="D28" s="263" t="s">
        <v>627</v>
      </c>
      <c r="E28" s="263"/>
    </row>
    <row r="29" spans="1:5" ht="45">
      <c r="A29" s="268" t="s">
        <v>597</v>
      </c>
      <c r="B29" s="263" t="s">
        <v>580</v>
      </c>
      <c r="C29" s="263" t="s">
        <v>628</v>
      </c>
      <c r="D29" s="263" t="s">
        <v>629</v>
      </c>
      <c r="E29" s="263"/>
    </row>
    <row r="30" spans="1:5">
      <c r="A30" s="267" t="s">
        <v>169</v>
      </c>
      <c r="B30" s="269" t="s">
        <v>630</v>
      </c>
      <c r="C30" s="267"/>
      <c r="D30" s="267"/>
      <c r="E30" s="267"/>
    </row>
    <row r="31" spans="1:5" ht="26.25" customHeight="1">
      <c r="A31" s="270" t="s">
        <v>631</v>
      </c>
      <c r="B31" s="263" t="s">
        <v>582</v>
      </c>
      <c r="C31" s="263"/>
      <c r="D31" s="263" t="s">
        <v>632</v>
      </c>
      <c r="E31" s="263" t="s">
        <v>603</v>
      </c>
    </row>
    <row r="32" spans="1:5">
      <c r="A32" s="270" t="s">
        <v>633</v>
      </c>
      <c r="B32" s="263" t="s">
        <v>583</v>
      </c>
      <c r="C32" s="263"/>
      <c r="D32" s="263" t="s">
        <v>634</v>
      </c>
      <c r="E32" s="263" t="s">
        <v>603</v>
      </c>
    </row>
    <row r="33" spans="1:5">
      <c r="A33" s="270" t="s">
        <v>635</v>
      </c>
      <c r="B33" s="263" t="s">
        <v>584</v>
      </c>
      <c r="C33" s="263"/>
      <c r="D33" s="263" t="s">
        <v>636</v>
      </c>
      <c r="E33" s="263" t="s">
        <v>603</v>
      </c>
    </row>
    <row r="34" spans="1:5" ht="35.25" customHeight="1">
      <c r="A34" s="270" t="s">
        <v>637</v>
      </c>
      <c r="B34" s="263" t="s">
        <v>599</v>
      </c>
      <c r="C34" s="263"/>
      <c r="D34" s="263" t="s">
        <v>638</v>
      </c>
      <c r="E34" s="263" t="s">
        <v>603</v>
      </c>
    </row>
    <row r="35" spans="1:5" ht="35.25" customHeight="1">
      <c r="A35" s="270" t="s">
        <v>639</v>
      </c>
      <c r="B35" s="263" t="s">
        <v>640</v>
      </c>
      <c r="C35" s="263"/>
      <c r="D35" s="263" t="s">
        <v>648</v>
      </c>
      <c r="E35" s="263" t="s">
        <v>603</v>
      </c>
    </row>
    <row r="36" spans="1:5">
      <c r="A36" s="268" t="s">
        <v>641</v>
      </c>
      <c r="B36" s="263" t="s">
        <v>642</v>
      </c>
      <c r="C36" s="263"/>
      <c r="D36" s="263"/>
      <c r="E36" s="263"/>
    </row>
    <row r="37" spans="1:5" ht="21">
      <c r="A37" s="582"/>
      <c r="B37" s="582"/>
      <c r="C37" s="582"/>
      <c r="D37" s="582"/>
      <c r="E37" s="582"/>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19"/>
  <sheetViews>
    <sheetView tabSelected="1" view="pageBreakPreview" topLeftCell="A8" zoomScale="70" zoomScaleNormal="100" zoomScaleSheetLayoutView="70" workbookViewId="0">
      <selection activeCell="H65" sqref="H65"/>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602" t="s">
        <v>562</v>
      </c>
      <c r="B1" s="602"/>
      <c r="C1" s="602"/>
      <c r="D1" s="602"/>
      <c r="E1" s="602"/>
      <c r="F1" s="602"/>
      <c r="G1" s="602"/>
      <c r="H1" s="602"/>
    </row>
    <row r="2" spans="1:26">
      <c r="B2" s="4"/>
    </row>
    <row r="3" spans="1:26" ht="18.75">
      <c r="A3" s="639" t="s">
        <v>533</v>
      </c>
      <c r="B3" s="639"/>
    </row>
    <row r="4" spans="1:26">
      <c r="A4" s="214" t="s">
        <v>0</v>
      </c>
      <c r="B4" s="225" t="s">
        <v>379</v>
      </c>
      <c r="C4" s="226"/>
      <c r="D4" s="226"/>
      <c r="E4" s="226"/>
      <c r="F4" s="226"/>
      <c r="G4" s="226"/>
      <c r="H4" s="226"/>
    </row>
    <row r="5" spans="1:26">
      <c r="A5" s="9" t="s">
        <v>476</v>
      </c>
      <c r="B5" s="211">
        <v>651</v>
      </c>
      <c r="D5" s="227"/>
      <c r="E5" s="227"/>
      <c r="F5" s="227"/>
      <c r="G5" s="227"/>
      <c r="H5" s="227"/>
      <c r="K5" s="227">
        <f>+B5</f>
        <v>651</v>
      </c>
      <c r="L5" s="227">
        <f>+K5*1.2</f>
        <v>781.19999999999993</v>
      </c>
      <c r="M5" s="227">
        <f t="shared" ref="M5:Q5" si="0">+L5*1.2</f>
        <v>937.43999999999983</v>
      </c>
      <c r="N5" s="227">
        <f t="shared" si="0"/>
        <v>1124.9279999999997</v>
      </c>
      <c r="O5" s="227">
        <f t="shared" si="0"/>
        <v>1349.9135999999996</v>
      </c>
      <c r="P5" s="227">
        <f t="shared" si="0"/>
        <v>1619.8963199999996</v>
      </c>
      <c r="Q5" s="227">
        <f t="shared" si="0"/>
        <v>1943.8755839999994</v>
      </c>
    </row>
    <row r="6" spans="1:26">
      <c r="A6" s="9" t="s">
        <v>477</v>
      </c>
      <c r="B6" s="211">
        <v>1000</v>
      </c>
      <c r="D6" s="227"/>
      <c r="E6" s="227"/>
      <c r="F6" s="227"/>
      <c r="G6" s="227"/>
      <c r="H6" s="227"/>
      <c r="K6" s="227">
        <f>+B6</f>
        <v>1000</v>
      </c>
      <c r="L6" s="227">
        <f>+K6*1.2</f>
        <v>1200</v>
      </c>
      <c r="M6" s="227">
        <f t="shared" ref="M6:Q6" si="1">+L6*1.2</f>
        <v>1440</v>
      </c>
      <c r="N6" s="227">
        <f t="shared" si="1"/>
        <v>1728</v>
      </c>
      <c r="O6" s="227">
        <f t="shared" si="1"/>
        <v>2073.6</v>
      </c>
      <c r="P6" s="227">
        <f t="shared" si="1"/>
        <v>2488.3199999999997</v>
      </c>
      <c r="Q6" s="227">
        <f t="shared" si="1"/>
        <v>2985.9839999999995</v>
      </c>
    </row>
    <row r="7" spans="1:26">
      <c r="A7" s="2" t="s">
        <v>1</v>
      </c>
      <c r="B7" s="2">
        <f>B5+B6</f>
        <v>1651</v>
      </c>
      <c r="C7" s="5"/>
      <c r="D7" s="228"/>
      <c r="E7" s="228"/>
      <c r="F7" s="228"/>
      <c r="G7" s="228"/>
      <c r="H7" s="228"/>
    </row>
    <row r="8" spans="1:26">
      <c r="A8" s="2" t="s">
        <v>478</v>
      </c>
      <c r="B8" s="241">
        <v>1</v>
      </c>
      <c r="C8" s="5"/>
      <c r="D8" s="5"/>
      <c r="E8" s="5"/>
      <c r="F8" s="5"/>
      <c r="G8" s="5"/>
      <c r="H8" s="5"/>
    </row>
    <row r="9" spans="1:26">
      <c r="A9" s="2" t="s">
        <v>481</v>
      </c>
      <c r="B9" s="2">
        <f>B7*B8</f>
        <v>1651</v>
      </c>
      <c r="C9" s="228"/>
      <c r="D9" s="228"/>
      <c r="E9" s="228"/>
      <c r="F9" s="228"/>
      <c r="G9" s="228"/>
      <c r="H9" s="228"/>
    </row>
    <row r="10" spans="1:26">
      <c r="J10" t="s">
        <v>444</v>
      </c>
      <c r="O10" t="s">
        <v>440</v>
      </c>
      <c r="U10" t="s">
        <v>441</v>
      </c>
      <c r="Y10" t="s">
        <v>442</v>
      </c>
      <c r="Z10" t="s">
        <v>443</v>
      </c>
    </row>
    <row r="11" spans="1:26" ht="18.75">
      <c r="A11" s="602" t="s">
        <v>534</v>
      </c>
      <c r="B11" s="602"/>
      <c r="C11" s="602"/>
      <c r="D11" s="602"/>
      <c r="E11" s="602"/>
      <c r="F11" s="602"/>
      <c r="G11" s="602"/>
      <c r="H11" s="602"/>
      <c r="I11" s="5"/>
      <c r="J11" s="5"/>
      <c r="K11" s="5"/>
      <c r="L11" s="5"/>
      <c r="M11" s="5"/>
      <c r="N11" s="5"/>
      <c r="O11" s="5"/>
      <c r="P11" s="5"/>
    </row>
    <row r="12" spans="1:26">
      <c r="J12" s="3">
        <v>0.65</v>
      </c>
      <c r="K12" s="223">
        <f>J12+0.05</f>
        <v>0.70000000000000007</v>
      </c>
      <c r="L12" s="223">
        <f t="shared" ref="L12:N12" si="2">K12+0.05</f>
        <v>0.75000000000000011</v>
      </c>
      <c r="M12" s="223">
        <f t="shared" si="2"/>
        <v>0.80000000000000016</v>
      </c>
      <c r="N12" s="223">
        <f t="shared" si="2"/>
        <v>0.8500000000000002</v>
      </c>
      <c r="O12" s="3">
        <v>0.4</v>
      </c>
      <c r="P12" s="3">
        <f>O12+0.05</f>
        <v>0.45</v>
      </c>
      <c r="Q12" s="3">
        <f t="shared" ref="Q12:T12" si="3">P12+0.05</f>
        <v>0.5</v>
      </c>
      <c r="R12" s="3">
        <f t="shared" si="3"/>
        <v>0.55000000000000004</v>
      </c>
      <c r="S12" s="3">
        <f t="shared" si="3"/>
        <v>0.60000000000000009</v>
      </c>
      <c r="T12" s="3">
        <f t="shared" si="3"/>
        <v>0.65000000000000013</v>
      </c>
      <c r="U12" s="3">
        <v>0.1</v>
      </c>
      <c r="V12" s="6">
        <f>U12+0.05</f>
        <v>0.15000000000000002</v>
      </c>
      <c r="W12" s="6">
        <f t="shared" ref="W12:X12" si="4">V12+0.05</f>
        <v>0.2</v>
      </c>
      <c r="X12" s="6">
        <f t="shared" si="4"/>
        <v>0.25</v>
      </c>
    </row>
    <row r="13" spans="1:26" ht="45">
      <c r="A13" s="214" t="s">
        <v>381</v>
      </c>
      <c r="B13" s="214" t="s">
        <v>382</v>
      </c>
      <c r="C13" s="215" t="s">
        <v>437</v>
      </c>
      <c r="D13" s="215" t="s">
        <v>445</v>
      </c>
      <c r="E13" s="215" t="s">
        <v>976</v>
      </c>
      <c r="F13" s="215" t="s">
        <v>818</v>
      </c>
      <c r="G13" s="215" t="s">
        <v>606</v>
      </c>
      <c r="H13" s="215" t="s">
        <v>819</v>
      </c>
      <c r="O13" s="222" t="s">
        <v>2</v>
      </c>
      <c r="P13" s="222" t="s">
        <v>3</v>
      </c>
      <c r="Q13" s="222" t="s">
        <v>4</v>
      </c>
      <c r="R13" s="222" t="s">
        <v>5</v>
      </c>
      <c r="S13" s="222" t="s">
        <v>6</v>
      </c>
      <c r="T13" s="222" t="s">
        <v>2</v>
      </c>
      <c r="U13" s="222" t="s">
        <v>3</v>
      </c>
      <c r="V13" s="222" t="s">
        <v>4</v>
      </c>
      <c r="W13" s="222" t="s">
        <v>5</v>
      </c>
      <c r="X13" s="222" t="s">
        <v>6</v>
      </c>
    </row>
    <row r="14" spans="1:26" hidden="1">
      <c r="A14" s="643" t="s">
        <v>383</v>
      </c>
      <c r="B14" s="211" t="s">
        <v>162</v>
      </c>
      <c r="C14" s="220">
        <v>0</v>
      </c>
      <c r="D14" s="9">
        <f t="shared" ref="D14:D22" si="5">$B$9*C14</f>
        <v>0</v>
      </c>
      <c r="E14" s="212">
        <v>15</v>
      </c>
      <c r="F14" s="9">
        <f>D14*E14</f>
        <v>0</v>
      </c>
      <c r="G14" s="221">
        <v>0.1</v>
      </c>
      <c r="H14" s="9">
        <f>(F14-F14*G14)</f>
        <v>0</v>
      </c>
      <c r="J14">
        <f>$D$14*J12</f>
        <v>0</v>
      </c>
      <c r="K14">
        <f>$D$14*K12</f>
        <v>0</v>
      </c>
      <c r="L14">
        <f>$D$14*L12</f>
        <v>0</v>
      </c>
      <c r="M14">
        <f>$D$14*M12</f>
        <v>0</v>
      </c>
      <c r="N14">
        <f>$D$14*N12</f>
        <v>0</v>
      </c>
    </row>
    <row r="15" spans="1:26" hidden="1">
      <c r="A15" s="644"/>
      <c r="B15" s="211" t="s">
        <v>467</v>
      </c>
      <c r="C15" s="220">
        <v>0</v>
      </c>
      <c r="D15" s="9">
        <f t="shared" si="5"/>
        <v>0</v>
      </c>
      <c r="E15" s="212">
        <v>7</v>
      </c>
      <c r="F15" s="9">
        <f t="shared" ref="F15:F36" si="6">D15*E15</f>
        <v>0</v>
      </c>
      <c r="G15" s="221">
        <v>0.05</v>
      </c>
      <c r="H15" s="9">
        <f>(F15-F15*G15)</f>
        <v>0</v>
      </c>
    </row>
    <row r="16" spans="1:26">
      <c r="A16" s="644"/>
      <c r="B16" s="211" t="s">
        <v>466</v>
      </c>
      <c r="C16" s="220">
        <v>0.90450232182515644</v>
      </c>
      <c r="D16" s="581">
        <f>+C16*B9</f>
        <v>1493.3333333333333</v>
      </c>
      <c r="E16" s="212">
        <v>2.5</v>
      </c>
      <c r="F16" s="581">
        <f>+D16*E16</f>
        <v>3733.333333333333</v>
      </c>
      <c r="G16" s="221">
        <v>0.1</v>
      </c>
      <c r="H16" s="580">
        <f>+F16*0.9</f>
        <v>3360</v>
      </c>
      <c r="I16" s="20">
        <f>+'13.Facility 2 Grain Processing-'!R32</f>
        <v>3360</v>
      </c>
    </row>
    <row r="17" spans="1:8" hidden="1">
      <c r="A17" s="644"/>
      <c r="B17" s="211" t="s">
        <v>464</v>
      </c>
      <c r="C17" s="220">
        <v>0</v>
      </c>
      <c r="D17" s="9">
        <f t="shared" si="5"/>
        <v>0</v>
      </c>
      <c r="E17" s="212">
        <v>7</v>
      </c>
      <c r="F17" s="9">
        <f t="shared" si="6"/>
        <v>0</v>
      </c>
      <c r="G17" s="221">
        <v>0.02</v>
      </c>
      <c r="H17" s="9">
        <f t="shared" ref="H17:H36" si="7">(F17-F17*G17)</f>
        <v>0</v>
      </c>
    </row>
    <row r="18" spans="1:8" hidden="1">
      <c r="A18" s="644"/>
      <c r="B18" s="211" t="s">
        <v>384</v>
      </c>
      <c r="C18" s="220">
        <v>0</v>
      </c>
      <c r="D18" s="9">
        <f t="shared" si="5"/>
        <v>0</v>
      </c>
      <c r="E18" s="212">
        <v>20</v>
      </c>
      <c r="F18" s="9">
        <f t="shared" si="6"/>
        <v>0</v>
      </c>
      <c r="G18" s="221">
        <v>0</v>
      </c>
      <c r="H18" s="9">
        <f t="shared" si="7"/>
        <v>0</v>
      </c>
    </row>
    <row r="19" spans="1:8" hidden="1">
      <c r="A19" s="644"/>
      <c r="B19" s="211" t="s">
        <v>465</v>
      </c>
      <c r="C19" s="220">
        <v>0</v>
      </c>
      <c r="D19" s="9">
        <f t="shared" si="5"/>
        <v>0</v>
      </c>
      <c r="E19" s="212">
        <v>7</v>
      </c>
      <c r="F19" s="9">
        <f t="shared" si="6"/>
        <v>0</v>
      </c>
      <c r="G19" s="221">
        <v>0.1</v>
      </c>
      <c r="H19" s="9">
        <f t="shared" si="7"/>
        <v>0</v>
      </c>
    </row>
    <row r="20" spans="1:8" hidden="1">
      <c r="A20" s="644"/>
      <c r="B20" s="211" t="s">
        <v>458</v>
      </c>
      <c r="C20" s="220">
        <v>0</v>
      </c>
      <c r="D20" s="9">
        <f t="shared" si="5"/>
        <v>0</v>
      </c>
      <c r="E20" s="212">
        <v>6</v>
      </c>
      <c r="F20" s="9">
        <f t="shared" si="6"/>
        <v>0</v>
      </c>
      <c r="G20" s="221">
        <v>0.02</v>
      </c>
      <c r="H20" s="9">
        <f t="shared" si="7"/>
        <v>0</v>
      </c>
    </row>
    <row r="21" spans="1:8" hidden="1">
      <c r="A21" s="644"/>
      <c r="B21" s="211" t="s">
        <v>386</v>
      </c>
      <c r="C21" s="220">
        <v>0</v>
      </c>
      <c r="D21" s="9">
        <f t="shared" si="5"/>
        <v>0</v>
      </c>
      <c r="E21" s="212"/>
      <c r="F21" s="9">
        <f t="shared" si="6"/>
        <v>0</v>
      </c>
      <c r="G21" s="221">
        <v>0</v>
      </c>
      <c r="H21" s="9">
        <f t="shared" si="7"/>
        <v>0</v>
      </c>
    </row>
    <row r="22" spans="1:8" hidden="1">
      <c r="A22" s="645"/>
      <c r="B22" s="211" t="s">
        <v>468</v>
      </c>
      <c r="C22" s="220">
        <v>0</v>
      </c>
      <c r="D22" s="9">
        <f t="shared" si="5"/>
        <v>0</v>
      </c>
      <c r="E22" s="212"/>
      <c r="F22" s="9">
        <f t="shared" si="6"/>
        <v>0</v>
      </c>
      <c r="G22" s="221">
        <v>0</v>
      </c>
      <c r="H22" s="9">
        <f t="shared" si="7"/>
        <v>0</v>
      </c>
    </row>
    <row r="23" spans="1:8">
      <c r="A23" s="230" t="s">
        <v>471</v>
      </c>
      <c r="B23" s="235"/>
      <c r="C23" s="236"/>
      <c r="D23" s="9"/>
      <c r="E23" s="212"/>
      <c r="F23" s="9"/>
      <c r="G23" s="221"/>
      <c r="H23" s="9"/>
    </row>
    <row r="24" spans="1:8" hidden="1">
      <c r="A24" s="643" t="s">
        <v>385</v>
      </c>
      <c r="B24" s="211"/>
      <c r="C24" s="220"/>
      <c r="D24" s="9">
        <f>C$23*C24</f>
        <v>0</v>
      </c>
      <c r="E24" s="212">
        <v>10</v>
      </c>
      <c r="F24" s="9">
        <f t="shared" si="6"/>
        <v>0</v>
      </c>
      <c r="G24" s="221">
        <v>0.1</v>
      </c>
      <c r="H24" s="9">
        <f t="shared" si="7"/>
        <v>0</v>
      </c>
    </row>
    <row r="25" spans="1:8" hidden="1">
      <c r="A25" s="644"/>
      <c r="B25" s="211"/>
      <c r="C25" s="220"/>
      <c r="D25" s="9">
        <f>C$23*C25</f>
        <v>0</v>
      </c>
      <c r="E25" s="212">
        <v>10</v>
      </c>
      <c r="F25" s="9">
        <f t="shared" si="6"/>
        <v>0</v>
      </c>
      <c r="G25" s="221">
        <v>0.1</v>
      </c>
      <c r="H25" s="9">
        <f t="shared" si="7"/>
        <v>0</v>
      </c>
    </row>
    <row r="26" spans="1:8" hidden="1">
      <c r="A26" s="644"/>
      <c r="B26" s="211"/>
      <c r="C26" s="220"/>
      <c r="D26" s="9">
        <f>C$23*C26</f>
        <v>0</v>
      </c>
      <c r="E26" s="212">
        <v>10</v>
      </c>
      <c r="F26" s="9">
        <f t="shared" si="6"/>
        <v>0</v>
      </c>
      <c r="G26" s="221">
        <v>0.05</v>
      </c>
      <c r="H26" s="9">
        <f t="shared" si="7"/>
        <v>0</v>
      </c>
    </row>
    <row r="27" spans="1:8" hidden="1">
      <c r="A27" s="644"/>
      <c r="B27" s="211"/>
      <c r="C27" s="220"/>
      <c r="D27" s="9">
        <f t="shared" ref="D27:D31" si="8">C$23*C27</f>
        <v>0</v>
      </c>
      <c r="E27" s="212">
        <v>20</v>
      </c>
      <c r="F27" s="9">
        <f t="shared" si="6"/>
        <v>0</v>
      </c>
      <c r="G27" s="221">
        <v>0</v>
      </c>
      <c r="H27" s="9">
        <f t="shared" si="7"/>
        <v>0</v>
      </c>
    </row>
    <row r="28" spans="1:8" hidden="1">
      <c r="A28" s="644"/>
      <c r="B28" s="211"/>
      <c r="C28" s="220"/>
      <c r="D28" s="9">
        <f t="shared" si="8"/>
        <v>0</v>
      </c>
      <c r="E28" s="212"/>
      <c r="F28" s="9">
        <f t="shared" si="6"/>
        <v>0</v>
      </c>
      <c r="G28" s="221">
        <v>0</v>
      </c>
      <c r="H28" s="9">
        <f t="shared" si="7"/>
        <v>0</v>
      </c>
    </row>
    <row r="29" spans="1:8" hidden="1">
      <c r="A29" s="644"/>
      <c r="B29" s="211"/>
      <c r="C29" s="220"/>
      <c r="D29" s="9">
        <f t="shared" si="8"/>
        <v>0</v>
      </c>
      <c r="E29" s="212"/>
      <c r="F29" s="9">
        <f t="shared" si="6"/>
        <v>0</v>
      </c>
      <c r="G29" s="221">
        <v>0</v>
      </c>
      <c r="H29" s="9">
        <f t="shared" si="7"/>
        <v>0</v>
      </c>
    </row>
    <row r="30" spans="1:8" hidden="1">
      <c r="A30" s="644"/>
      <c r="B30" s="211"/>
      <c r="C30" s="220"/>
      <c r="D30" s="9">
        <f t="shared" si="8"/>
        <v>0</v>
      </c>
      <c r="E30" s="212"/>
      <c r="F30" s="9">
        <f t="shared" si="6"/>
        <v>0</v>
      </c>
      <c r="G30" s="221">
        <v>0</v>
      </c>
      <c r="H30" s="9">
        <f t="shared" si="7"/>
        <v>0</v>
      </c>
    </row>
    <row r="31" spans="1:8">
      <c r="A31" s="645"/>
      <c r="B31" s="211"/>
      <c r="C31" s="220"/>
      <c r="D31" s="9">
        <f t="shared" si="8"/>
        <v>0</v>
      </c>
      <c r="E31" s="212"/>
      <c r="F31" s="9">
        <f t="shared" si="6"/>
        <v>0</v>
      </c>
      <c r="G31" s="221">
        <v>0</v>
      </c>
      <c r="H31" s="9">
        <f t="shared" si="7"/>
        <v>0</v>
      </c>
    </row>
    <row r="32" spans="1:8">
      <c r="A32" s="230" t="s">
        <v>470</v>
      </c>
      <c r="B32" s="235"/>
      <c r="C32" s="9"/>
      <c r="D32" s="9"/>
      <c r="E32" s="212"/>
      <c r="F32" s="9"/>
      <c r="G32" s="221"/>
      <c r="H32" s="9"/>
    </row>
    <row r="33" spans="1:8">
      <c r="A33" s="237" t="s">
        <v>449</v>
      </c>
      <c r="B33" s="211" t="s">
        <v>469</v>
      </c>
      <c r="C33" s="220">
        <v>0</v>
      </c>
      <c r="D33" s="9">
        <f>C$32*C33</f>
        <v>0</v>
      </c>
      <c r="E33" s="212"/>
      <c r="F33" s="9">
        <f t="shared" si="6"/>
        <v>0</v>
      </c>
      <c r="G33" s="221">
        <v>0</v>
      </c>
      <c r="H33" s="9">
        <f t="shared" si="7"/>
        <v>0</v>
      </c>
    </row>
    <row r="34" spans="1:8" hidden="1">
      <c r="A34" s="238"/>
      <c r="B34" s="211"/>
      <c r="C34" s="220">
        <v>0</v>
      </c>
      <c r="D34" s="9">
        <f>C$32*C34</f>
        <v>0</v>
      </c>
      <c r="E34" s="212"/>
      <c r="F34" s="9">
        <f t="shared" si="6"/>
        <v>0</v>
      </c>
      <c r="G34" s="221">
        <v>0</v>
      </c>
      <c r="H34" s="9">
        <f t="shared" si="7"/>
        <v>0</v>
      </c>
    </row>
    <row r="35" spans="1:8" hidden="1">
      <c r="A35" s="238"/>
      <c r="B35" s="211"/>
      <c r="C35" s="220">
        <v>0</v>
      </c>
      <c r="D35" s="9">
        <f>C$32*C35</f>
        <v>0</v>
      </c>
      <c r="E35" s="212"/>
      <c r="F35" s="9">
        <f t="shared" si="6"/>
        <v>0</v>
      </c>
      <c r="G35" s="221">
        <v>0</v>
      </c>
      <c r="H35" s="9">
        <f t="shared" si="7"/>
        <v>0</v>
      </c>
    </row>
    <row r="36" spans="1:8" hidden="1">
      <c r="A36" s="239"/>
      <c r="B36" s="211"/>
      <c r="C36" s="220">
        <v>0</v>
      </c>
      <c r="D36" s="9">
        <f>C$32*C36</f>
        <v>0</v>
      </c>
      <c r="E36" s="212"/>
      <c r="F36" s="9">
        <f t="shared" si="6"/>
        <v>0</v>
      </c>
      <c r="G36" s="221">
        <v>0</v>
      </c>
      <c r="H36" s="9">
        <f t="shared" si="7"/>
        <v>0</v>
      </c>
    </row>
    <row r="37" spans="1:8">
      <c r="A37" s="642" t="s">
        <v>387</v>
      </c>
      <c r="B37" s="642"/>
      <c r="C37" s="642"/>
      <c r="D37" s="642"/>
      <c r="E37" s="642"/>
      <c r="F37" s="642"/>
      <c r="G37" s="642"/>
      <c r="H37" s="642"/>
    </row>
    <row r="39" spans="1:8" ht="18.75">
      <c r="A39" s="646" t="s">
        <v>535</v>
      </c>
      <c r="B39" s="647"/>
      <c r="C39" s="647"/>
      <c r="D39" s="647"/>
      <c r="E39" s="647"/>
      <c r="F39" s="647"/>
      <c r="G39" s="647"/>
      <c r="H39" s="648"/>
    </row>
    <row r="40" spans="1:8">
      <c r="A40" s="649" t="s">
        <v>0</v>
      </c>
      <c r="B40" s="231">
        <v>0.6</v>
      </c>
      <c r="C40" s="231">
        <f>+B40</f>
        <v>0.6</v>
      </c>
      <c r="D40" s="231">
        <f>+C40</f>
        <v>0.6</v>
      </c>
      <c r="E40" s="231">
        <f t="shared" ref="E40:F40" si="9">+D40</f>
        <v>0.6</v>
      </c>
      <c r="F40" s="231">
        <f t="shared" si="9"/>
        <v>0.6</v>
      </c>
      <c r="G40" s="231">
        <f t="shared" ref="D40:G40" si="10">F40+0.05</f>
        <v>0.65</v>
      </c>
      <c r="H40" s="231">
        <f>G40+0.05</f>
        <v>0.70000000000000007</v>
      </c>
    </row>
    <row r="41" spans="1:8">
      <c r="A41" s="650"/>
      <c r="B41" s="225" t="s">
        <v>2</v>
      </c>
      <c r="C41" s="225" t="s">
        <v>3</v>
      </c>
      <c r="D41" s="225" t="s">
        <v>4</v>
      </c>
      <c r="E41" s="225" t="s">
        <v>5</v>
      </c>
      <c r="F41" s="225" t="s">
        <v>6</v>
      </c>
      <c r="G41" s="225" t="s">
        <v>164</v>
      </c>
      <c r="H41" s="225" t="s">
        <v>163</v>
      </c>
    </row>
    <row r="42" spans="1:8" hidden="1">
      <c r="A42" s="9" t="str">
        <f t="shared" ref="A42:A50" si="11">B14</f>
        <v>Soybean</v>
      </c>
      <c r="B42" s="9">
        <f t="shared" ref="B42:B50" si="12">H14*$B$40</f>
        <v>0</v>
      </c>
      <c r="C42" s="9">
        <f t="shared" ref="C42:H51" si="13">(B42/B$40)*C$40</f>
        <v>0</v>
      </c>
      <c r="D42" s="9">
        <f t="shared" si="13"/>
        <v>0</v>
      </c>
      <c r="E42" s="9">
        <f t="shared" si="13"/>
        <v>0</v>
      </c>
      <c r="F42" s="9">
        <f t="shared" si="13"/>
        <v>0</v>
      </c>
      <c r="G42" s="9">
        <f t="shared" si="13"/>
        <v>0</v>
      </c>
      <c r="H42" s="9">
        <f t="shared" si="13"/>
        <v>0</v>
      </c>
    </row>
    <row r="43" spans="1:8" hidden="1">
      <c r="A43" s="9" t="str">
        <f t="shared" si="11"/>
        <v>Red Gram/Tur</v>
      </c>
      <c r="B43" s="9">
        <f t="shared" si="12"/>
        <v>0</v>
      </c>
      <c r="C43" s="9">
        <f t="shared" si="13"/>
        <v>0</v>
      </c>
      <c r="D43" s="9">
        <f t="shared" si="13"/>
        <v>0</v>
      </c>
      <c r="E43" s="9">
        <f t="shared" si="13"/>
        <v>0</v>
      </c>
      <c r="F43" s="9">
        <f t="shared" si="13"/>
        <v>0</v>
      </c>
      <c r="G43" s="9">
        <f t="shared" si="13"/>
        <v>0</v>
      </c>
      <c r="H43" s="9">
        <f t="shared" si="13"/>
        <v>0</v>
      </c>
    </row>
    <row r="44" spans="1:8">
      <c r="A44" s="9" t="str">
        <f t="shared" si="11"/>
        <v>Paddy/Rice</v>
      </c>
      <c r="B44" s="9">
        <f>+'13.Facility 2 Grain Processing-'!J32</f>
        <v>2015.9999999999998</v>
      </c>
      <c r="C44" s="9">
        <f>+'13.Facility 2 Grain Processing-'!K32</f>
        <v>2015.9999999999998</v>
      </c>
      <c r="D44" s="9">
        <f>+'13.Facility 2 Grain Processing-'!L32</f>
        <v>2015.9999999999998</v>
      </c>
      <c r="E44" s="9">
        <f>+'13.Facility 2 Grain Processing-'!M32</f>
        <v>2015.9999999999998</v>
      </c>
      <c r="F44" s="9">
        <f>+'13.Facility 2 Grain Processing-'!N32</f>
        <v>2015.9999999999998</v>
      </c>
      <c r="G44" s="9">
        <f>+'13.Facility 2 Grain Processing-'!O32</f>
        <v>2160</v>
      </c>
      <c r="H44" s="9">
        <f>+'13.Facility 2 Grain Processing-'!P32</f>
        <v>2304</v>
      </c>
    </row>
    <row r="45" spans="1:8" hidden="1">
      <c r="A45" s="9" t="str">
        <f t="shared" si="11"/>
        <v>Green Gram/ Moong</v>
      </c>
      <c r="B45" s="9">
        <f t="shared" si="12"/>
        <v>0</v>
      </c>
      <c r="C45" s="9">
        <f t="shared" si="13"/>
        <v>0</v>
      </c>
      <c r="D45" s="9">
        <f t="shared" si="13"/>
        <v>0</v>
      </c>
      <c r="E45" s="9">
        <f t="shared" si="13"/>
        <v>0</v>
      </c>
      <c r="F45" s="9">
        <f t="shared" si="13"/>
        <v>0</v>
      </c>
      <c r="G45" s="9">
        <f t="shared" si="13"/>
        <v>0</v>
      </c>
      <c r="H45" s="9">
        <f t="shared" si="13"/>
        <v>0</v>
      </c>
    </row>
    <row r="46" spans="1:8" hidden="1">
      <c r="A46" s="9" t="str">
        <f t="shared" si="11"/>
        <v>Maize</v>
      </c>
      <c r="B46" s="9">
        <f t="shared" si="12"/>
        <v>0</v>
      </c>
      <c r="C46" s="9">
        <f t="shared" si="13"/>
        <v>0</v>
      </c>
      <c r="D46" s="9">
        <f t="shared" si="13"/>
        <v>0</v>
      </c>
      <c r="E46" s="9">
        <f t="shared" si="13"/>
        <v>0</v>
      </c>
      <c r="F46" s="9">
        <f t="shared" si="13"/>
        <v>0</v>
      </c>
      <c r="G46" s="9">
        <f t="shared" si="13"/>
        <v>0</v>
      </c>
      <c r="H46" s="9">
        <f t="shared" si="13"/>
        <v>0</v>
      </c>
    </row>
    <row r="47" spans="1:8" hidden="1">
      <c r="A47" s="9" t="str">
        <f t="shared" si="11"/>
        <v>Black Gram/Udid</v>
      </c>
      <c r="B47" s="9">
        <f t="shared" si="12"/>
        <v>0</v>
      </c>
      <c r="C47" s="9">
        <f t="shared" si="13"/>
        <v>0</v>
      </c>
      <c r="D47" s="9">
        <f t="shared" si="13"/>
        <v>0</v>
      </c>
      <c r="E47" s="9">
        <f t="shared" si="13"/>
        <v>0</v>
      </c>
      <c r="F47" s="9">
        <f t="shared" si="13"/>
        <v>0</v>
      </c>
      <c r="G47" s="9">
        <f t="shared" si="13"/>
        <v>0</v>
      </c>
      <c r="H47" s="9">
        <f t="shared" si="13"/>
        <v>0</v>
      </c>
    </row>
    <row r="48" spans="1:8" hidden="1">
      <c r="A48" s="9" t="str">
        <f t="shared" si="11"/>
        <v>Bajra</v>
      </c>
      <c r="B48" s="9">
        <f t="shared" si="12"/>
        <v>0</v>
      </c>
      <c r="C48" s="9">
        <f t="shared" si="13"/>
        <v>0</v>
      </c>
      <c r="D48" s="9">
        <f t="shared" si="13"/>
        <v>0</v>
      </c>
      <c r="E48" s="9">
        <f t="shared" si="13"/>
        <v>0</v>
      </c>
      <c r="F48" s="9">
        <f t="shared" si="13"/>
        <v>0</v>
      </c>
      <c r="G48" s="9">
        <f t="shared" si="13"/>
        <v>0</v>
      </c>
      <c r="H48" s="9">
        <f t="shared" si="13"/>
        <v>0</v>
      </c>
    </row>
    <row r="49" spans="1:8" hidden="1">
      <c r="A49" s="9" t="str">
        <f t="shared" si="11"/>
        <v>Jawar</v>
      </c>
      <c r="B49" s="9">
        <f t="shared" si="12"/>
        <v>0</v>
      </c>
      <c r="C49" s="9">
        <f t="shared" si="13"/>
        <v>0</v>
      </c>
      <c r="D49" s="9">
        <f t="shared" si="13"/>
        <v>0</v>
      </c>
      <c r="E49" s="9">
        <f t="shared" si="13"/>
        <v>0</v>
      </c>
      <c r="F49" s="9">
        <f t="shared" si="13"/>
        <v>0</v>
      </c>
      <c r="G49" s="9">
        <f t="shared" si="13"/>
        <v>0</v>
      </c>
      <c r="H49" s="9">
        <f t="shared" si="13"/>
        <v>0</v>
      </c>
    </row>
    <row r="50" spans="1:8" hidden="1">
      <c r="A50" s="9" t="str">
        <f t="shared" si="11"/>
        <v>Sunflower</v>
      </c>
      <c r="B50" s="9">
        <f t="shared" si="12"/>
        <v>0</v>
      </c>
      <c r="C50" s="9">
        <f t="shared" si="13"/>
        <v>0</v>
      </c>
      <c r="D50" s="9">
        <f t="shared" si="13"/>
        <v>0</v>
      </c>
      <c r="E50" s="9">
        <f t="shared" si="13"/>
        <v>0</v>
      </c>
      <c r="F50" s="9">
        <f t="shared" si="13"/>
        <v>0</v>
      </c>
      <c r="G50" s="9">
        <f t="shared" si="13"/>
        <v>0</v>
      </c>
      <c r="H50" s="9">
        <f t="shared" si="13"/>
        <v>0</v>
      </c>
    </row>
    <row r="51" spans="1:8" hidden="1">
      <c r="A51" s="9">
        <f t="shared" ref="A51:A58" si="14">B24</f>
        <v>0</v>
      </c>
      <c r="B51" s="9">
        <f t="shared" ref="B51:B58" si="15">H24*$B$40</f>
        <v>0</v>
      </c>
      <c r="C51" s="9">
        <f t="shared" si="13"/>
        <v>0</v>
      </c>
      <c r="D51" s="9">
        <f t="shared" si="13"/>
        <v>0</v>
      </c>
      <c r="E51" s="9">
        <f t="shared" si="13"/>
        <v>0</v>
      </c>
      <c r="F51" s="9">
        <f t="shared" si="13"/>
        <v>0</v>
      </c>
      <c r="G51" s="9">
        <f t="shared" si="13"/>
        <v>0</v>
      </c>
      <c r="H51" s="9">
        <f t="shared" si="13"/>
        <v>0</v>
      </c>
    </row>
    <row r="52" spans="1:8" hidden="1">
      <c r="A52" s="9">
        <f t="shared" si="14"/>
        <v>0</v>
      </c>
      <c r="B52" s="9">
        <f t="shared" si="15"/>
        <v>0</v>
      </c>
      <c r="C52" s="9">
        <f t="shared" ref="C52:H61" si="16">(B52/B$40)*C$40</f>
        <v>0</v>
      </c>
      <c r="D52" s="9">
        <f t="shared" si="16"/>
        <v>0</v>
      </c>
      <c r="E52" s="9">
        <f t="shared" si="16"/>
        <v>0</v>
      </c>
      <c r="F52" s="9">
        <f t="shared" si="16"/>
        <v>0</v>
      </c>
      <c r="G52" s="9">
        <f t="shared" si="16"/>
        <v>0</v>
      </c>
      <c r="H52" s="9">
        <f t="shared" si="16"/>
        <v>0</v>
      </c>
    </row>
    <row r="53" spans="1:8" hidden="1">
      <c r="A53" s="9">
        <f t="shared" si="14"/>
        <v>0</v>
      </c>
      <c r="B53" s="9">
        <f t="shared" si="15"/>
        <v>0</v>
      </c>
      <c r="C53" s="9">
        <f t="shared" si="16"/>
        <v>0</v>
      </c>
      <c r="D53" s="9">
        <f t="shared" si="16"/>
        <v>0</v>
      </c>
      <c r="E53" s="9">
        <f t="shared" si="16"/>
        <v>0</v>
      </c>
      <c r="F53" s="9">
        <f t="shared" si="16"/>
        <v>0</v>
      </c>
      <c r="G53" s="9">
        <f t="shared" si="16"/>
        <v>0</v>
      </c>
      <c r="H53" s="9">
        <f t="shared" si="16"/>
        <v>0</v>
      </c>
    </row>
    <row r="54" spans="1:8" hidden="1">
      <c r="A54" s="9">
        <f t="shared" si="14"/>
        <v>0</v>
      </c>
      <c r="B54" s="9">
        <f t="shared" si="15"/>
        <v>0</v>
      </c>
      <c r="C54" s="9">
        <f t="shared" si="16"/>
        <v>0</v>
      </c>
      <c r="D54" s="9">
        <f t="shared" si="16"/>
        <v>0</v>
      </c>
      <c r="E54" s="9">
        <f t="shared" si="16"/>
        <v>0</v>
      </c>
      <c r="F54" s="9">
        <f t="shared" si="16"/>
        <v>0</v>
      </c>
      <c r="G54" s="9">
        <f t="shared" si="16"/>
        <v>0</v>
      </c>
      <c r="H54" s="9">
        <f t="shared" si="16"/>
        <v>0</v>
      </c>
    </row>
    <row r="55" spans="1:8" hidden="1">
      <c r="A55" s="9">
        <f t="shared" si="14"/>
        <v>0</v>
      </c>
      <c r="B55" s="9">
        <f t="shared" si="15"/>
        <v>0</v>
      </c>
      <c r="C55" s="9">
        <f t="shared" si="16"/>
        <v>0</v>
      </c>
      <c r="D55" s="9">
        <f t="shared" si="16"/>
        <v>0</v>
      </c>
      <c r="E55" s="9">
        <f t="shared" si="16"/>
        <v>0</v>
      </c>
      <c r="F55" s="9">
        <f t="shared" si="16"/>
        <v>0</v>
      </c>
      <c r="G55" s="9">
        <f t="shared" si="16"/>
        <v>0</v>
      </c>
      <c r="H55" s="9">
        <f t="shared" si="16"/>
        <v>0</v>
      </c>
    </row>
    <row r="56" spans="1:8" hidden="1">
      <c r="A56" s="9">
        <f t="shared" si="14"/>
        <v>0</v>
      </c>
      <c r="B56" s="9">
        <f t="shared" si="15"/>
        <v>0</v>
      </c>
      <c r="C56" s="9">
        <f t="shared" si="16"/>
        <v>0</v>
      </c>
      <c r="D56" s="9">
        <f t="shared" si="16"/>
        <v>0</v>
      </c>
      <c r="E56" s="9">
        <f t="shared" si="16"/>
        <v>0</v>
      </c>
      <c r="F56" s="9">
        <f t="shared" si="16"/>
        <v>0</v>
      </c>
      <c r="G56" s="9">
        <f t="shared" si="16"/>
        <v>0</v>
      </c>
      <c r="H56" s="9">
        <f t="shared" si="16"/>
        <v>0</v>
      </c>
    </row>
    <row r="57" spans="1:8" hidden="1">
      <c r="A57" s="9">
        <f t="shared" si="14"/>
        <v>0</v>
      </c>
      <c r="B57" s="9">
        <f t="shared" si="15"/>
        <v>0</v>
      </c>
      <c r="C57" s="9">
        <f t="shared" si="16"/>
        <v>0</v>
      </c>
      <c r="D57" s="9">
        <f t="shared" si="16"/>
        <v>0</v>
      </c>
      <c r="E57" s="9">
        <f t="shared" si="16"/>
        <v>0</v>
      </c>
      <c r="F57" s="9">
        <f t="shared" si="16"/>
        <v>0</v>
      </c>
      <c r="G57" s="9">
        <f t="shared" si="16"/>
        <v>0</v>
      </c>
      <c r="H57" s="9">
        <f t="shared" si="16"/>
        <v>0</v>
      </c>
    </row>
    <row r="58" spans="1:8" hidden="1">
      <c r="A58" s="9">
        <f t="shared" si="14"/>
        <v>0</v>
      </c>
      <c r="B58" s="9">
        <f t="shared" si="15"/>
        <v>0</v>
      </c>
      <c r="C58" s="9">
        <f t="shared" si="16"/>
        <v>0</v>
      </c>
      <c r="D58" s="9">
        <f t="shared" si="16"/>
        <v>0</v>
      </c>
      <c r="E58" s="9">
        <f t="shared" si="16"/>
        <v>0</v>
      </c>
      <c r="F58" s="9">
        <f t="shared" si="16"/>
        <v>0</v>
      </c>
      <c r="G58" s="9">
        <f t="shared" si="16"/>
        <v>0</v>
      </c>
      <c r="H58" s="9">
        <f t="shared" si="16"/>
        <v>0</v>
      </c>
    </row>
    <row r="59" spans="1:8" hidden="1">
      <c r="A59" s="9" t="str">
        <f>B33</f>
        <v>Groundnut</v>
      </c>
      <c r="B59" s="9">
        <f>H33*$B$40</f>
        <v>0</v>
      </c>
      <c r="C59" s="9">
        <f t="shared" si="16"/>
        <v>0</v>
      </c>
      <c r="D59" s="9">
        <f t="shared" si="16"/>
        <v>0</v>
      </c>
      <c r="E59" s="9">
        <f t="shared" si="16"/>
        <v>0</v>
      </c>
      <c r="F59" s="9">
        <f t="shared" si="16"/>
        <v>0</v>
      </c>
      <c r="G59" s="9">
        <f t="shared" si="16"/>
        <v>0</v>
      </c>
      <c r="H59" s="9">
        <f t="shared" si="16"/>
        <v>0</v>
      </c>
    </row>
    <row r="60" spans="1:8" hidden="1">
      <c r="A60" s="9">
        <f>B34</f>
        <v>0</v>
      </c>
      <c r="B60" s="9">
        <f>H34*$B$40</f>
        <v>0</v>
      </c>
      <c r="C60" s="9">
        <f t="shared" si="16"/>
        <v>0</v>
      </c>
      <c r="D60" s="9">
        <f t="shared" si="16"/>
        <v>0</v>
      </c>
      <c r="E60" s="9">
        <f t="shared" si="16"/>
        <v>0</v>
      </c>
      <c r="F60" s="9">
        <f t="shared" si="16"/>
        <v>0</v>
      </c>
      <c r="G60" s="9">
        <f t="shared" si="16"/>
        <v>0</v>
      </c>
      <c r="H60" s="9">
        <f t="shared" si="16"/>
        <v>0</v>
      </c>
    </row>
    <row r="61" spans="1:8" hidden="1">
      <c r="A61" s="9">
        <f>B35</f>
        <v>0</v>
      </c>
      <c r="B61" s="9">
        <f>H35*$B$40</f>
        <v>0</v>
      </c>
      <c r="C61" s="9">
        <f t="shared" si="16"/>
        <v>0</v>
      </c>
      <c r="D61" s="9">
        <f t="shared" si="16"/>
        <v>0</v>
      </c>
      <c r="E61" s="9">
        <f t="shared" si="16"/>
        <v>0</v>
      </c>
      <c r="F61" s="9">
        <f t="shared" si="16"/>
        <v>0</v>
      </c>
      <c r="G61" s="9">
        <f t="shared" si="16"/>
        <v>0</v>
      </c>
      <c r="H61" s="9">
        <f t="shared" si="16"/>
        <v>0</v>
      </c>
    </row>
    <row r="62" spans="1:8" hidden="1">
      <c r="A62" s="9">
        <f>B36</f>
        <v>0</v>
      </c>
      <c r="B62" s="9">
        <f>H36*$B$40</f>
        <v>0</v>
      </c>
      <c r="C62" s="9">
        <f t="shared" ref="C62:H62" si="17">(B62/B$40)*C$40</f>
        <v>0</v>
      </c>
      <c r="D62" s="9">
        <f t="shared" si="17"/>
        <v>0</v>
      </c>
      <c r="E62" s="9">
        <f t="shared" si="17"/>
        <v>0</v>
      </c>
      <c r="F62" s="9">
        <f t="shared" si="17"/>
        <v>0</v>
      </c>
      <c r="G62" s="9">
        <f t="shared" si="17"/>
        <v>0</v>
      </c>
      <c r="H62" s="9">
        <f t="shared" si="17"/>
        <v>0</v>
      </c>
    </row>
    <row r="64" spans="1:8" ht="18.75">
      <c r="A64" s="651" t="s">
        <v>536</v>
      </c>
      <c r="B64" s="652"/>
      <c r="C64" s="652"/>
      <c r="D64" s="652"/>
      <c r="E64" s="652"/>
      <c r="F64" s="652"/>
      <c r="G64" s="652"/>
      <c r="H64" s="653"/>
    </row>
    <row r="65" spans="1:8">
      <c r="A65" s="654" t="s">
        <v>0</v>
      </c>
      <c r="B65" s="232">
        <v>0.4</v>
      </c>
      <c r="C65" s="232">
        <f>+B65</f>
        <v>0.4</v>
      </c>
      <c r="D65" s="232">
        <f t="shared" ref="D65:F65" si="18">+C65</f>
        <v>0.4</v>
      </c>
      <c r="E65" s="232">
        <f t="shared" si="18"/>
        <v>0.4</v>
      </c>
      <c r="F65" s="232">
        <f t="shared" si="18"/>
        <v>0.4</v>
      </c>
      <c r="G65" s="232">
        <f t="shared" ref="D65:G65" si="19">F65+0.05</f>
        <v>0.45</v>
      </c>
      <c r="H65" s="232">
        <f>G65+0.05</f>
        <v>0.5</v>
      </c>
    </row>
    <row r="66" spans="1:8">
      <c r="A66" s="655"/>
      <c r="B66" s="225" t="s">
        <v>2</v>
      </c>
      <c r="C66" s="225" t="s">
        <v>3</v>
      </c>
      <c r="D66" s="225" t="s">
        <v>4</v>
      </c>
      <c r="E66" s="225" t="s">
        <v>5</v>
      </c>
      <c r="F66" s="225" t="s">
        <v>6</v>
      </c>
      <c r="G66" s="225" t="s">
        <v>164</v>
      </c>
      <c r="H66" s="225" t="s">
        <v>163</v>
      </c>
    </row>
    <row r="67" spans="1:8" hidden="1">
      <c r="A67" s="9" t="str">
        <f t="shared" ref="A67:A87" si="20">A42</f>
        <v>Soybean</v>
      </c>
      <c r="B67" s="9">
        <f>H14*$B$65*0</f>
        <v>0</v>
      </c>
      <c r="C67" s="9">
        <f>(B67/B$65)*C$65</f>
        <v>0</v>
      </c>
      <c r="D67" s="9">
        <f t="shared" ref="D67:H68" si="21">(C67/C$65)*D$65</f>
        <v>0</v>
      </c>
      <c r="E67" s="9">
        <f t="shared" si="21"/>
        <v>0</v>
      </c>
      <c r="F67" s="9">
        <f t="shared" si="21"/>
        <v>0</v>
      </c>
      <c r="G67" s="9">
        <f t="shared" si="21"/>
        <v>0</v>
      </c>
      <c r="H67" s="9">
        <f t="shared" si="21"/>
        <v>0</v>
      </c>
    </row>
    <row r="68" spans="1:8" hidden="1">
      <c r="A68" s="9" t="str">
        <f t="shared" si="20"/>
        <v>Red Gram/Tur</v>
      </c>
      <c r="B68" s="9">
        <f t="shared" ref="B68:B75" si="22">H15*$B$65</f>
        <v>0</v>
      </c>
      <c r="C68" s="9">
        <f>(B68/B$65)*C$65</f>
        <v>0</v>
      </c>
      <c r="D68" s="9">
        <f t="shared" si="21"/>
        <v>0</v>
      </c>
      <c r="E68" s="9">
        <f t="shared" si="21"/>
        <v>0</v>
      </c>
      <c r="F68" s="9">
        <f t="shared" si="21"/>
        <v>0</v>
      </c>
      <c r="G68" s="9">
        <f t="shared" si="21"/>
        <v>0</v>
      </c>
      <c r="H68" s="9">
        <f t="shared" si="21"/>
        <v>0</v>
      </c>
    </row>
    <row r="69" spans="1:8">
      <c r="A69" s="9" t="str">
        <f t="shared" si="20"/>
        <v>Paddy/Rice</v>
      </c>
      <c r="B69" s="9">
        <f>+'13.Facility 2 Grain Processing-'!B32</f>
        <v>1344</v>
      </c>
      <c r="C69" s="9">
        <f>+'13.Facility 2 Grain Processing-'!C32</f>
        <v>1344</v>
      </c>
      <c r="D69" s="9">
        <f>+'13.Facility 2 Grain Processing-'!D32</f>
        <v>1344</v>
      </c>
      <c r="E69" s="9">
        <f>+'13.Facility 2 Grain Processing-'!E32</f>
        <v>1344</v>
      </c>
      <c r="F69" s="9">
        <f>+'13.Facility 2 Grain Processing-'!F32</f>
        <v>1344</v>
      </c>
      <c r="G69" s="9">
        <f>+'13.Facility 2 Grain Processing-'!G32</f>
        <v>1440</v>
      </c>
      <c r="H69" s="9">
        <f>+'13.Facility 2 Grain Processing-'!H32</f>
        <v>1536</v>
      </c>
    </row>
    <row r="70" spans="1:8" hidden="1">
      <c r="A70" s="9" t="str">
        <f t="shared" si="20"/>
        <v>Green Gram/ Moong</v>
      </c>
      <c r="B70" s="9">
        <f t="shared" si="22"/>
        <v>0</v>
      </c>
      <c r="C70" s="9">
        <f t="shared" ref="C70:H70" si="23">(B70/B$65)*C$65</f>
        <v>0</v>
      </c>
      <c r="D70" s="9">
        <f t="shared" si="23"/>
        <v>0</v>
      </c>
      <c r="E70" s="9">
        <f t="shared" si="23"/>
        <v>0</v>
      </c>
      <c r="F70" s="9">
        <f t="shared" si="23"/>
        <v>0</v>
      </c>
      <c r="G70" s="9">
        <f t="shared" si="23"/>
        <v>0</v>
      </c>
      <c r="H70" s="9">
        <f t="shared" si="23"/>
        <v>0</v>
      </c>
    </row>
    <row r="71" spans="1:8" hidden="1">
      <c r="A71" s="9" t="str">
        <f t="shared" si="20"/>
        <v>Maize</v>
      </c>
      <c r="B71" s="9">
        <f t="shared" si="22"/>
        <v>0</v>
      </c>
      <c r="C71" s="9">
        <f t="shared" ref="C71:H71" si="24">(B71/B$65)*C$65</f>
        <v>0</v>
      </c>
      <c r="D71" s="9">
        <f t="shared" si="24"/>
        <v>0</v>
      </c>
      <c r="E71" s="9">
        <f t="shared" si="24"/>
        <v>0</v>
      </c>
      <c r="F71" s="9">
        <f t="shared" si="24"/>
        <v>0</v>
      </c>
      <c r="G71" s="9">
        <f t="shared" si="24"/>
        <v>0</v>
      </c>
      <c r="H71" s="9">
        <f t="shared" si="24"/>
        <v>0</v>
      </c>
    </row>
    <row r="72" spans="1:8" hidden="1">
      <c r="A72" s="9" t="str">
        <f t="shared" si="20"/>
        <v>Black Gram/Udid</v>
      </c>
      <c r="B72" s="9">
        <f t="shared" si="22"/>
        <v>0</v>
      </c>
      <c r="C72" s="9">
        <f t="shared" ref="C72:H72" si="25">(B72/B$65)*C$65</f>
        <v>0</v>
      </c>
      <c r="D72" s="9">
        <f t="shared" si="25"/>
        <v>0</v>
      </c>
      <c r="E72" s="9">
        <f t="shared" si="25"/>
        <v>0</v>
      </c>
      <c r="F72" s="9">
        <f t="shared" si="25"/>
        <v>0</v>
      </c>
      <c r="G72" s="9">
        <f t="shared" si="25"/>
        <v>0</v>
      </c>
      <c r="H72" s="9">
        <f t="shared" si="25"/>
        <v>0</v>
      </c>
    </row>
    <row r="73" spans="1:8" hidden="1">
      <c r="A73" s="9" t="str">
        <f t="shared" si="20"/>
        <v>Bajra</v>
      </c>
      <c r="B73" s="9">
        <f t="shared" si="22"/>
        <v>0</v>
      </c>
      <c r="C73" s="9">
        <f t="shared" ref="C73:H73" si="26">(B73/B$65)*C$65</f>
        <v>0</v>
      </c>
      <c r="D73" s="9">
        <f t="shared" si="26"/>
        <v>0</v>
      </c>
      <c r="E73" s="9">
        <f t="shared" si="26"/>
        <v>0</v>
      </c>
      <c r="F73" s="9">
        <f t="shared" si="26"/>
        <v>0</v>
      </c>
      <c r="G73" s="9">
        <f t="shared" si="26"/>
        <v>0</v>
      </c>
      <c r="H73" s="9">
        <f t="shared" si="26"/>
        <v>0</v>
      </c>
    </row>
    <row r="74" spans="1:8" hidden="1">
      <c r="A74" s="9" t="str">
        <f t="shared" si="20"/>
        <v>Jawar</v>
      </c>
      <c r="B74" s="9">
        <f t="shared" si="22"/>
        <v>0</v>
      </c>
      <c r="C74" s="9">
        <f t="shared" ref="C74:H74" si="27">(B74/B$65)*C$65</f>
        <v>0</v>
      </c>
      <c r="D74" s="9">
        <f t="shared" si="27"/>
        <v>0</v>
      </c>
      <c r="E74" s="9">
        <f t="shared" si="27"/>
        <v>0</v>
      </c>
      <c r="F74" s="9">
        <f t="shared" si="27"/>
        <v>0</v>
      </c>
      <c r="G74" s="9">
        <f t="shared" si="27"/>
        <v>0</v>
      </c>
      <c r="H74" s="9">
        <f t="shared" si="27"/>
        <v>0</v>
      </c>
    </row>
    <row r="75" spans="1:8" hidden="1">
      <c r="A75" s="9" t="str">
        <f t="shared" si="20"/>
        <v>Sunflower</v>
      </c>
      <c r="B75" s="9">
        <f t="shared" si="22"/>
        <v>0</v>
      </c>
      <c r="C75" s="9">
        <f t="shared" ref="C75:H75" si="28">(B75/B$65)*C$65</f>
        <v>0</v>
      </c>
      <c r="D75" s="9">
        <f t="shared" si="28"/>
        <v>0</v>
      </c>
      <c r="E75" s="9">
        <f t="shared" si="28"/>
        <v>0</v>
      </c>
      <c r="F75" s="9">
        <f t="shared" si="28"/>
        <v>0</v>
      </c>
      <c r="G75" s="9">
        <f t="shared" si="28"/>
        <v>0</v>
      </c>
      <c r="H75" s="9">
        <f t="shared" si="28"/>
        <v>0</v>
      </c>
    </row>
    <row r="76" spans="1:8" hidden="1">
      <c r="A76" s="9">
        <f t="shared" si="20"/>
        <v>0</v>
      </c>
      <c r="B76" s="9">
        <f t="shared" ref="B76:B83" si="29">H24*$B$65</f>
        <v>0</v>
      </c>
      <c r="C76" s="9">
        <f t="shared" ref="C76:H76" si="30">(B76/B$65)*C$65</f>
        <v>0</v>
      </c>
      <c r="D76" s="9">
        <f t="shared" si="30"/>
        <v>0</v>
      </c>
      <c r="E76" s="9">
        <f t="shared" si="30"/>
        <v>0</v>
      </c>
      <c r="F76" s="9">
        <f t="shared" si="30"/>
        <v>0</v>
      </c>
      <c r="G76" s="9">
        <f t="shared" si="30"/>
        <v>0</v>
      </c>
      <c r="H76" s="9">
        <f t="shared" si="30"/>
        <v>0</v>
      </c>
    </row>
    <row r="77" spans="1:8" hidden="1">
      <c r="A77" s="9">
        <f t="shared" si="20"/>
        <v>0</v>
      </c>
      <c r="B77" s="9">
        <f t="shared" si="29"/>
        <v>0</v>
      </c>
      <c r="C77" s="9">
        <f t="shared" ref="C77:H77" si="31">(B77/B$65)*C$65</f>
        <v>0</v>
      </c>
      <c r="D77" s="9">
        <f t="shared" si="31"/>
        <v>0</v>
      </c>
      <c r="E77" s="9">
        <f t="shared" si="31"/>
        <v>0</v>
      </c>
      <c r="F77" s="9">
        <f t="shared" si="31"/>
        <v>0</v>
      </c>
      <c r="G77" s="9">
        <f t="shared" si="31"/>
        <v>0</v>
      </c>
      <c r="H77" s="9">
        <f t="shared" si="31"/>
        <v>0</v>
      </c>
    </row>
    <row r="78" spans="1:8" hidden="1">
      <c r="A78" s="9">
        <f t="shared" si="20"/>
        <v>0</v>
      </c>
      <c r="B78" s="9">
        <f t="shared" si="29"/>
        <v>0</v>
      </c>
      <c r="C78" s="9">
        <f t="shared" ref="C78:H78" si="32">(B78/B$65)*C$65</f>
        <v>0</v>
      </c>
      <c r="D78" s="9">
        <f t="shared" si="32"/>
        <v>0</v>
      </c>
      <c r="E78" s="9">
        <f t="shared" si="32"/>
        <v>0</v>
      </c>
      <c r="F78" s="9">
        <f t="shared" si="32"/>
        <v>0</v>
      </c>
      <c r="G78" s="9">
        <f t="shared" si="32"/>
        <v>0</v>
      </c>
      <c r="H78" s="9">
        <f t="shared" si="32"/>
        <v>0</v>
      </c>
    </row>
    <row r="79" spans="1:8" hidden="1">
      <c r="A79" s="9">
        <f t="shared" si="20"/>
        <v>0</v>
      </c>
      <c r="B79" s="9">
        <f t="shared" si="29"/>
        <v>0</v>
      </c>
      <c r="C79" s="9">
        <f t="shared" ref="C79:H79" si="33">(B79/B$65)*C$65</f>
        <v>0</v>
      </c>
      <c r="D79" s="9">
        <f t="shared" si="33"/>
        <v>0</v>
      </c>
      <c r="E79" s="9">
        <f t="shared" si="33"/>
        <v>0</v>
      </c>
      <c r="F79" s="9">
        <f t="shared" si="33"/>
        <v>0</v>
      </c>
      <c r="G79" s="9">
        <f t="shared" si="33"/>
        <v>0</v>
      </c>
      <c r="H79" s="9">
        <f t="shared" si="33"/>
        <v>0</v>
      </c>
    </row>
    <row r="80" spans="1:8" hidden="1">
      <c r="A80" s="9">
        <f t="shared" si="20"/>
        <v>0</v>
      </c>
      <c r="B80" s="9">
        <f t="shared" si="29"/>
        <v>0</v>
      </c>
      <c r="C80" s="9">
        <f t="shared" ref="C80:H80" si="34">(B80/B$65)*C$65</f>
        <v>0</v>
      </c>
      <c r="D80" s="9">
        <f t="shared" si="34"/>
        <v>0</v>
      </c>
      <c r="E80" s="9">
        <f t="shared" si="34"/>
        <v>0</v>
      </c>
      <c r="F80" s="9">
        <f t="shared" si="34"/>
        <v>0</v>
      </c>
      <c r="G80" s="9">
        <f t="shared" si="34"/>
        <v>0</v>
      </c>
      <c r="H80" s="9">
        <f t="shared" si="34"/>
        <v>0</v>
      </c>
    </row>
    <row r="81" spans="1:8" hidden="1">
      <c r="A81" s="9">
        <f t="shared" si="20"/>
        <v>0</v>
      </c>
      <c r="B81" s="9">
        <f t="shared" si="29"/>
        <v>0</v>
      </c>
      <c r="C81" s="9">
        <f t="shared" ref="C81:H81" si="35">(B81/B$65)*C$65</f>
        <v>0</v>
      </c>
      <c r="D81" s="9">
        <f t="shared" si="35"/>
        <v>0</v>
      </c>
      <c r="E81" s="9">
        <f t="shared" si="35"/>
        <v>0</v>
      </c>
      <c r="F81" s="9">
        <f t="shared" si="35"/>
        <v>0</v>
      </c>
      <c r="G81" s="9">
        <f t="shared" si="35"/>
        <v>0</v>
      </c>
      <c r="H81" s="9">
        <f t="shared" si="35"/>
        <v>0</v>
      </c>
    </row>
    <row r="82" spans="1:8" hidden="1">
      <c r="A82" s="9">
        <f t="shared" si="20"/>
        <v>0</v>
      </c>
      <c r="B82" s="9">
        <f t="shared" si="29"/>
        <v>0</v>
      </c>
      <c r="C82" s="9">
        <f t="shared" ref="C82:H82" si="36">(B82/B$65)*C$65</f>
        <v>0</v>
      </c>
      <c r="D82" s="9">
        <f t="shared" si="36"/>
        <v>0</v>
      </c>
      <c r="E82" s="9">
        <f t="shared" si="36"/>
        <v>0</v>
      </c>
      <c r="F82" s="9">
        <f t="shared" si="36"/>
        <v>0</v>
      </c>
      <c r="G82" s="9">
        <f t="shared" si="36"/>
        <v>0</v>
      </c>
      <c r="H82" s="9">
        <f t="shared" si="36"/>
        <v>0</v>
      </c>
    </row>
    <row r="83" spans="1:8" hidden="1">
      <c r="A83" s="9">
        <f t="shared" si="20"/>
        <v>0</v>
      </c>
      <c r="B83" s="9">
        <f t="shared" si="29"/>
        <v>0</v>
      </c>
      <c r="C83" s="9">
        <f t="shared" ref="C83:H83" si="37">(B83/B$65)*C$65</f>
        <v>0</v>
      </c>
      <c r="D83" s="9">
        <f t="shared" si="37"/>
        <v>0</v>
      </c>
      <c r="E83" s="9">
        <f t="shared" si="37"/>
        <v>0</v>
      </c>
      <c r="F83" s="9">
        <f t="shared" si="37"/>
        <v>0</v>
      </c>
      <c r="G83" s="9">
        <f t="shared" si="37"/>
        <v>0</v>
      </c>
      <c r="H83" s="9">
        <f t="shared" si="37"/>
        <v>0</v>
      </c>
    </row>
    <row r="84" spans="1:8" hidden="1">
      <c r="A84" s="9" t="str">
        <f t="shared" si="20"/>
        <v>Groundnut</v>
      </c>
      <c r="B84" s="9">
        <f>H33*$B$65</f>
        <v>0</v>
      </c>
      <c r="C84" s="9">
        <f t="shared" ref="C84:H84" si="38">(B84/B$65)*C$65</f>
        <v>0</v>
      </c>
      <c r="D84" s="9">
        <f t="shared" si="38"/>
        <v>0</v>
      </c>
      <c r="E84" s="9">
        <f t="shared" si="38"/>
        <v>0</v>
      </c>
      <c r="F84" s="9">
        <f t="shared" si="38"/>
        <v>0</v>
      </c>
      <c r="G84" s="9">
        <f t="shared" si="38"/>
        <v>0</v>
      </c>
      <c r="H84" s="9">
        <f t="shared" si="38"/>
        <v>0</v>
      </c>
    </row>
    <row r="85" spans="1:8" hidden="1">
      <c r="A85" s="9">
        <f t="shared" si="20"/>
        <v>0</v>
      </c>
      <c r="B85" s="9">
        <f>H34*$B$65</f>
        <v>0</v>
      </c>
      <c r="C85" s="9">
        <f t="shared" ref="C85:H85" si="39">(B85/B$65)*C$65</f>
        <v>0</v>
      </c>
      <c r="D85" s="9">
        <f t="shared" si="39"/>
        <v>0</v>
      </c>
      <c r="E85" s="9">
        <f t="shared" si="39"/>
        <v>0</v>
      </c>
      <c r="F85" s="9">
        <f t="shared" si="39"/>
        <v>0</v>
      </c>
      <c r="G85" s="9">
        <f t="shared" si="39"/>
        <v>0</v>
      </c>
      <c r="H85" s="9">
        <f t="shared" si="39"/>
        <v>0</v>
      </c>
    </row>
    <row r="86" spans="1:8" hidden="1">
      <c r="A86" s="9">
        <f t="shared" si="20"/>
        <v>0</v>
      </c>
      <c r="B86" s="9">
        <f>H35*$B$65</f>
        <v>0</v>
      </c>
      <c r="C86" s="9">
        <f t="shared" ref="C86:H86" si="40">(B86/B$65)*C$65</f>
        <v>0</v>
      </c>
      <c r="D86" s="9">
        <f t="shared" si="40"/>
        <v>0</v>
      </c>
      <c r="E86" s="9">
        <f t="shared" si="40"/>
        <v>0</v>
      </c>
      <c r="F86" s="9">
        <f t="shared" si="40"/>
        <v>0</v>
      </c>
      <c r="G86" s="9">
        <f t="shared" si="40"/>
        <v>0</v>
      </c>
      <c r="H86" s="9">
        <f t="shared" si="40"/>
        <v>0</v>
      </c>
    </row>
    <row r="87" spans="1:8" hidden="1">
      <c r="A87" s="9">
        <f t="shared" si="20"/>
        <v>0</v>
      </c>
      <c r="B87" s="9">
        <f>H36*$B$65</f>
        <v>0</v>
      </c>
      <c r="C87" s="9">
        <f t="shared" ref="C87:H87" si="41">(B87/B$65)*C$65</f>
        <v>0</v>
      </c>
      <c r="D87" s="9">
        <f t="shared" si="41"/>
        <v>0</v>
      </c>
      <c r="E87" s="9">
        <f t="shared" si="41"/>
        <v>0</v>
      </c>
      <c r="F87" s="9">
        <f t="shared" si="41"/>
        <v>0</v>
      </c>
      <c r="G87" s="9">
        <f t="shared" si="41"/>
        <v>0</v>
      </c>
      <c r="H87" s="9">
        <f t="shared" si="41"/>
        <v>0</v>
      </c>
    </row>
    <row r="89" spans="1:8">
      <c r="A89" s="656" t="s">
        <v>537</v>
      </c>
      <c r="B89" s="657"/>
      <c r="C89" s="657"/>
      <c r="D89" s="657"/>
      <c r="E89" s="657"/>
      <c r="F89" s="657"/>
      <c r="G89" s="657"/>
      <c r="H89" s="658"/>
    </row>
    <row r="90" spans="1:8">
      <c r="A90" s="640" t="s">
        <v>0</v>
      </c>
      <c r="B90" s="247">
        <v>0.65</v>
      </c>
      <c r="C90" s="248">
        <f>B90+0.05</f>
        <v>0.70000000000000007</v>
      </c>
      <c r="D90" s="248">
        <f t="shared" ref="D90:G90" si="42">C90+0.05</f>
        <v>0.75000000000000011</v>
      </c>
      <c r="E90" s="248">
        <f t="shared" si="42"/>
        <v>0.80000000000000016</v>
      </c>
      <c r="F90" s="248">
        <f t="shared" si="42"/>
        <v>0.8500000000000002</v>
      </c>
      <c r="G90" s="248">
        <f t="shared" si="42"/>
        <v>0.90000000000000024</v>
      </c>
      <c r="H90" s="248">
        <f>G90+0.05</f>
        <v>0.95000000000000029</v>
      </c>
    </row>
    <row r="91" spans="1:8">
      <c r="A91" s="641"/>
      <c r="B91" s="225" t="s">
        <v>2</v>
      </c>
      <c r="C91" s="225" t="s">
        <v>3</v>
      </c>
      <c r="D91" s="225" t="s">
        <v>4</v>
      </c>
      <c r="E91" s="225" t="s">
        <v>5</v>
      </c>
      <c r="F91" s="225" t="s">
        <v>6</v>
      </c>
      <c r="G91" s="225" t="s">
        <v>164</v>
      </c>
      <c r="H91" s="225" t="s">
        <v>163</v>
      </c>
    </row>
    <row r="92" spans="1:8" hidden="1">
      <c r="A92" s="9" t="str">
        <f t="shared" ref="A92:A112" si="43">A67</f>
        <v>Soybean</v>
      </c>
      <c r="B92" s="9">
        <f t="shared" ref="B92:B100" si="44">D14*$B$90</f>
        <v>0</v>
      </c>
      <c r="C92" s="9">
        <f t="shared" ref="C92:H92" si="45">(B92/B$90)*C$90</f>
        <v>0</v>
      </c>
      <c r="D92" s="9">
        <f t="shared" si="45"/>
        <v>0</v>
      </c>
      <c r="E92" s="9">
        <f t="shared" si="45"/>
        <v>0</v>
      </c>
      <c r="F92" s="9">
        <f t="shared" si="45"/>
        <v>0</v>
      </c>
      <c r="G92" s="9">
        <f t="shared" si="45"/>
        <v>0</v>
      </c>
      <c r="H92" s="9">
        <f t="shared" si="45"/>
        <v>0</v>
      </c>
    </row>
    <row r="93" spans="1:8" hidden="1">
      <c r="A93" s="9" t="str">
        <f t="shared" si="43"/>
        <v>Red Gram/Tur</v>
      </c>
      <c r="B93" s="9">
        <f t="shared" si="44"/>
        <v>0</v>
      </c>
      <c r="C93" s="9">
        <f t="shared" ref="C93:C113" si="46">(B93/B$90)*C$90</f>
        <v>0</v>
      </c>
      <c r="D93" s="9">
        <f>(C93/C90)*D90</f>
        <v>0</v>
      </c>
      <c r="E93" s="9">
        <f t="shared" ref="E93:G93" si="47">(D93/D90)*E90</f>
        <v>0</v>
      </c>
      <c r="F93" s="9">
        <f t="shared" si="47"/>
        <v>0</v>
      </c>
      <c r="G93" s="9">
        <f t="shared" si="47"/>
        <v>0</v>
      </c>
      <c r="H93" s="9">
        <f>(G93/G90)*H90</f>
        <v>0</v>
      </c>
    </row>
    <row r="94" spans="1:8" hidden="1">
      <c r="A94" s="9" t="str">
        <f t="shared" si="43"/>
        <v>Paddy/Rice</v>
      </c>
      <c r="B94" s="9">
        <v>0</v>
      </c>
      <c r="C94" s="9">
        <v>0</v>
      </c>
      <c r="D94" s="9">
        <v>0</v>
      </c>
      <c r="E94" s="9">
        <v>0</v>
      </c>
      <c r="F94" s="9">
        <v>0</v>
      </c>
      <c r="G94" s="9">
        <v>0</v>
      </c>
      <c r="H94" s="9">
        <v>0</v>
      </c>
    </row>
    <row r="95" spans="1:8" hidden="1">
      <c r="A95" s="9" t="str">
        <f t="shared" si="43"/>
        <v>Green Gram/ Moong</v>
      </c>
      <c r="B95" s="9">
        <f t="shared" si="44"/>
        <v>0</v>
      </c>
      <c r="C95" s="9">
        <f t="shared" si="46"/>
        <v>0</v>
      </c>
      <c r="D95" s="9">
        <f t="shared" ref="D95:H103" si="48">(C95/C$90)*D$90</f>
        <v>0</v>
      </c>
      <c r="E95" s="9">
        <f t="shared" si="48"/>
        <v>0</v>
      </c>
      <c r="F95" s="9">
        <f t="shared" si="48"/>
        <v>0</v>
      </c>
      <c r="G95" s="9">
        <f t="shared" si="48"/>
        <v>0</v>
      </c>
      <c r="H95" s="9">
        <f t="shared" si="48"/>
        <v>0</v>
      </c>
    </row>
    <row r="96" spans="1:8" hidden="1">
      <c r="A96" s="9" t="str">
        <f t="shared" si="43"/>
        <v>Maize</v>
      </c>
      <c r="B96" s="9">
        <f t="shared" si="44"/>
        <v>0</v>
      </c>
      <c r="C96" s="9">
        <f t="shared" si="46"/>
        <v>0</v>
      </c>
      <c r="D96" s="9">
        <f t="shared" si="48"/>
        <v>0</v>
      </c>
      <c r="E96" s="9">
        <f t="shared" si="48"/>
        <v>0</v>
      </c>
      <c r="F96" s="9">
        <f t="shared" si="48"/>
        <v>0</v>
      </c>
      <c r="G96" s="9">
        <f t="shared" si="48"/>
        <v>0</v>
      </c>
      <c r="H96" s="9">
        <f t="shared" si="48"/>
        <v>0</v>
      </c>
    </row>
    <row r="97" spans="1:8" hidden="1">
      <c r="A97" s="9" t="str">
        <f t="shared" si="43"/>
        <v>Black Gram/Udid</v>
      </c>
      <c r="B97" s="9">
        <f t="shared" si="44"/>
        <v>0</v>
      </c>
      <c r="C97" s="9">
        <f t="shared" si="46"/>
        <v>0</v>
      </c>
      <c r="D97" s="9">
        <f t="shared" si="48"/>
        <v>0</v>
      </c>
      <c r="E97" s="9">
        <f t="shared" si="48"/>
        <v>0</v>
      </c>
      <c r="F97" s="9">
        <f t="shared" si="48"/>
        <v>0</v>
      </c>
      <c r="G97" s="9">
        <f t="shared" si="48"/>
        <v>0</v>
      </c>
      <c r="H97" s="9">
        <f t="shared" si="48"/>
        <v>0</v>
      </c>
    </row>
    <row r="98" spans="1:8" hidden="1">
      <c r="A98" s="9" t="str">
        <f t="shared" si="43"/>
        <v>Bajra</v>
      </c>
      <c r="B98" s="9">
        <f t="shared" si="44"/>
        <v>0</v>
      </c>
      <c r="C98" s="9">
        <f t="shared" si="46"/>
        <v>0</v>
      </c>
      <c r="D98" s="9">
        <f t="shared" si="48"/>
        <v>0</v>
      </c>
      <c r="E98" s="9">
        <f t="shared" si="48"/>
        <v>0</v>
      </c>
      <c r="F98" s="9">
        <f t="shared" si="48"/>
        <v>0</v>
      </c>
      <c r="G98" s="9">
        <f t="shared" si="48"/>
        <v>0</v>
      </c>
      <c r="H98" s="9">
        <f t="shared" si="48"/>
        <v>0</v>
      </c>
    </row>
    <row r="99" spans="1:8" hidden="1">
      <c r="A99" s="9" t="str">
        <f t="shared" si="43"/>
        <v>Jawar</v>
      </c>
      <c r="B99" s="9">
        <f t="shared" si="44"/>
        <v>0</v>
      </c>
      <c r="C99" s="9">
        <f t="shared" si="46"/>
        <v>0</v>
      </c>
      <c r="D99" s="9">
        <f t="shared" si="48"/>
        <v>0</v>
      </c>
      <c r="E99" s="9">
        <f t="shared" si="48"/>
        <v>0</v>
      </c>
      <c r="F99" s="9">
        <f t="shared" si="48"/>
        <v>0</v>
      </c>
      <c r="G99" s="9">
        <f t="shared" si="48"/>
        <v>0</v>
      </c>
      <c r="H99" s="9">
        <f t="shared" si="48"/>
        <v>0</v>
      </c>
    </row>
    <row r="100" spans="1:8" hidden="1">
      <c r="A100" s="9" t="str">
        <f t="shared" si="43"/>
        <v>Sunflower</v>
      </c>
      <c r="B100" s="9">
        <f t="shared" si="44"/>
        <v>0</v>
      </c>
      <c r="C100" s="9">
        <f t="shared" si="46"/>
        <v>0</v>
      </c>
      <c r="D100" s="9">
        <f t="shared" si="48"/>
        <v>0</v>
      </c>
      <c r="E100" s="9">
        <f t="shared" si="48"/>
        <v>0</v>
      </c>
      <c r="F100" s="9">
        <f t="shared" si="48"/>
        <v>0</v>
      </c>
      <c r="G100" s="9">
        <f t="shared" si="48"/>
        <v>0</v>
      </c>
      <c r="H100" s="9">
        <f t="shared" si="48"/>
        <v>0</v>
      </c>
    </row>
    <row r="101" spans="1:8" hidden="1">
      <c r="A101" s="9">
        <f t="shared" si="43"/>
        <v>0</v>
      </c>
      <c r="B101" s="9">
        <f t="shared" ref="B101:B108" si="49">D24*$B$90</f>
        <v>0</v>
      </c>
      <c r="C101" s="9">
        <f t="shared" si="46"/>
        <v>0</v>
      </c>
      <c r="D101" s="9">
        <f t="shared" si="48"/>
        <v>0</v>
      </c>
      <c r="E101" s="9">
        <f t="shared" si="48"/>
        <v>0</v>
      </c>
      <c r="F101" s="9">
        <f t="shared" si="48"/>
        <v>0</v>
      </c>
      <c r="G101" s="9">
        <f t="shared" si="48"/>
        <v>0</v>
      </c>
      <c r="H101" s="9">
        <f t="shared" si="48"/>
        <v>0</v>
      </c>
    </row>
    <row r="102" spans="1:8" hidden="1">
      <c r="A102" s="9">
        <f t="shared" si="43"/>
        <v>0</v>
      </c>
      <c r="B102" s="9">
        <f t="shared" si="49"/>
        <v>0</v>
      </c>
      <c r="C102" s="9">
        <f t="shared" si="46"/>
        <v>0</v>
      </c>
      <c r="D102" s="9">
        <f t="shared" si="48"/>
        <v>0</v>
      </c>
      <c r="E102" s="9">
        <f t="shared" si="48"/>
        <v>0</v>
      </c>
      <c r="F102" s="9">
        <f t="shared" si="48"/>
        <v>0</v>
      </c>
      <c r="G102" s="9">
        <f t="shared" si="48"/>
        <v>0</v>
      </c>
      <c r="H102" s="9">
        <f t="shared" si="48"/>
        <v>0</v>
      </c>
    </row>
    <row r="103" spans="1:8" hidden="1">
      <c r="A103" s="9">
        <f t="shared" si="43"/>
        <v>0</v>
      </c>
      <c r="B103" s="9">
        <f t="shared" si="49"/>
        <v>0</v>
      </c>
      <c r="C103" s="9">
        <f t="shared" si="46"/>
        <v>0</v>
      </c>
      <c r="D103" s="9">
        <f t="shared" si="48"/>
        <v>0</v>
      </c>
      <c r="E103" s="9">
        <f t="shared" si="48"/>
        <v>0</v>
      </c>
      <c r="F103" s="9">
        <f t="shared" si="48"/>
        <v>0</v>
      </c>
      <c r="G103" s="9">
        <f t="shared" si="48"/>
        <v>0</v>
      </c>
      <c r="H103" s="9">
        <f t="shared" si="48"/>
        <v>0</v>
      </c>
    </row>
    <row r="104" spans="1:8" hidden="1">
      <c r="A104" s="9">
        <f t="shared" si="43"/>
        <v>0</v>
      </c>
      <c r="B104" s="9">
        <f t="shared" si="49"/>
        <v>0</v>
      </c>
      <c r="C104" s="9">
        <f t="shared" si="46"/>
        <v>0</v>
      </c>
      <c r="D104" s="9">
        <f t="shared" ref="D104:H113" si="50">(C104/C$90)*D$90</f>
        <v>0</v>
      </c>
      <c r="E104" s="9">
        <f t="shared" si="50"/>
        <v>0</v>
      </c>
      <c r="F104" s="9">
        <f t="shared" si="50"/>
        <v>0</v>
      </c>
      <c r="G104" s="9">
        <f t="shared" si="50"/>
        <v>0</v>
      </c>
      <c r="H104" s="9">
        <f t="shared" si="50"/>
        <v>0</v>
      </c>
    </row>
    <row r="105" spans="1:8" hidden="1">
      <c r="A105" s="9">
        <f t="shared" si="43"/>
        <v>0</v>
      </c>
      <c r="B105" s="9">
        <f t="shared" si="49"/>
        <v>0</v>
      </c>
      <c r="C105" s="9">
        <f t="shared" si="46"/>
        <v>0</v>
      </c>
      <c r="D105" s="9">
        <f t="shared" si="50"/>
        <v>0</v>
      </c>
      <c r="E105" s="9">
        <f t="shared" si="50"/>
        <v>0</v>
      </c>
      <c r="F105" s="9">
        <f t="shared" si="50"/>
        <v>0</v>
      </c>
      <c r="G105" s="9">
        <f t="shared" si="50"/>
        <v>0</v>
      </c>
      <c r="H105" s="9">
        <f t="shared" si="50"/>
        <v>0</v>
      </c>
    </row>
    <row r="106" spans="1:8" hidden="1">
      <c r="A106" s="9">
        <f t="shared" si="43"/>
        <v>0</v>
      </c>
      <c r="B106" s="9">
        <f t="shared" si="49"/>
        <v>0</v>
      </c>
      <c r="C106" s="9">
        <f t="shared" si="46"/>
        <v>0</v>
      </c>
      <c r="D106" s="9">
        <f t="shared" si="50"/>
        <v>0</v>
      </c>
      <c r="E106" s="9">
        <f t="shared" si="50"/>
        <v>0</v>
      </c>
      <c r="F106" s="9">
        <f t="shared" si="50"/>
        <v>0</v>
      </c>
      <c r="G106" s="9">
        <f t="shared" si="50"/>
        <v>0</v>
      </c>
      <c r="H106" s="9">
        <f t="shared" si="50"/>
        <v>0</v>
      </c>
    </row>
    <row r="107" spans="1:8" hidden="1">
      <c r="A107" s="9">
        <f t="shared" si="43"/>
        <v>0</v>
      </c>
      <c r="B107" s="9">
        <f t="shared" si="49"/>
        <v>0</v>
      </c>
      <c r="C107" s="9">
        <f t="shared" si="46"/>
        <v>0</v>
      </c>
      <c r="D107" s="9">
        <f t="shared" si="50"/>
        <v>0</v>
      </c>
      <c r="E107" s="9">
        <f t="shared" si="50"/>
        <v>0</v>
      </c>
      <c r="F107" s="9">
        <f t="shared" si="50"/>
        <v>0</v>
      </c>
      <c r="G107" s="9">
        <f t="shared" si="50"/>
        <v>0</v>
      </c>
      <c r="H107" s="9">
        <f t="shared" si="50"/>
        <v>0</v>
      </c>
    </row>
    <row r="108" spans="1:8" hidden="1">
      <c r="A108" s="9">
        <f t="shared" si="43"/>
        <v>0</v>
      </c>
      <c r="B108" s="9">
        <f t="shared" si="49"/>
        <v>0</v>
      </c>
      <c r="C108" s="9">
        <f t="shared" si="46"/>
        <v>0</v>
      </c>
      <c r="D108" s="9">
        <f t="shared" si="50"/>
        <v>0</v>
      </c>
      <c r="E108" s="9">
        <f t="shared" si="50"/>
        <v>0</v>
      </c>
      <c r="F108" s="9">
        <f t="shared" si="50"/>
        <v>0</v>
      </c>
      <c r="G108" s="9">
        <f t="shared" si="50"/>
        <v>0</v>
      </c>
      <c r="H108" s="9">
        <f t="shared" si="50"/>
        <v>0</v>
      </c>
    </row>
    <row r="109" spans="1:8" hidden="1">
      <c r="A109" s="9" t="str">
        <f t="shared" si="43"/>
        <v>Groundnut</v>
      </c>
      <c r="B109" s="9">
        <f>D33*$B$90</f>
        <v>0</v>
      </c>
      <c r="C109" s="9">
        <f t="shared" si="46"/>
        <v>0</v>
      </c>
      <c r="D109" s="9">
        <f t="shared" si="50"/>
        <v>0</v>
      </c>
      <c r="E109" s="9">
        <f t="shared" si="50"/>
        <v>0</v>
      </c>
      <c r="F109" s="9">
        <f t="shared" si="50"/>
        <v>0</v>
      </c>
      <c r="G109" s="9">
        <f t="shared" si="50"/>
        <v>0</v>
      </c>
      <c r="H109" s="9">
        <f t="shared" si="50"/>
        <v>0</v>
      </c>
    </row>
    <row r="110" spans="1:8" hidden="1">
      <c r="A110" s="9">
        <f t="shared" si="43"/>
        <v>0</v>
      </c>
      <c r="B110" s="9">
        <f>D34*$B$90</f>
        <v>0</v>
      </c>
      <c r="C110" s="9">
        <f t="shared" si="46"/>
        <v>0</v>
      </c>
      <c r="D110" s="9">
        <f t="shared" si="50"/>
        <v>0</v>
      </c>
      <c r="E110" s="9">
        <f t="shared" si="50"/>
        <v>0</v>
      </c>
      <c r="F110" s="9">
        <f t="shared" si="50"/>
        <v>0</v>
      </c>
      <c r="G110" s="9">
        <f t="shared" si="50"/>
        <v>0</v>
      </c>
      <c r="H110" s="9">
        <f t="shared" si="50"/>
        <v>0</v>
      </c>
    </row>
    <row r="111" spans="1:8" hidden="1">
      <c r="A111" s="9">
        <f t="shared" si="43"/>
        <v>0</v>
      </c>
      <c r="B111" s="9">
        <f>D34*$B$90</f>
        <v>0</v>
      </c>
      <c r="C111" s="9">
        <f t="shared" si="46"/>
        <v>0</v>
      </c>
      <c r="D111" s="9">
        <f t="shared" si="50"/>
        <v>0</v>
      </c>
      <c r="E111" s="9">
        <f t="shared" si="50"/>
        <v>0</v>
      </c>
      <c r="F111" s="9">
        <f t="shared" si="50"/>
        <v>0</v>
      </c>
      <c r="G111" s="9">
        <f t="shared" si="50"/>
        <v>0</v>
      </c>
      <c r="H111" s="9">
        <f t="shared" si="50"/>
        <v>0</v>
      </c>
    </row>
    <row r="112" spans="1:8" hidden="1">
      <c r="A112" s="9">
        <f t="shared" si="43"/>
        <v>0</v>
      </c>
      <c r="B112" s="9">
        <f>D36*$B$90</f>
        <v>0</v>
      </c>
      <c r="C112" s="9">
        <f t="shared" si="46"/>
        <v>0</v>
      </c>
      <c r="D112" s="9">
        <f t="shared" si="50"/>
        <v>0</v>
      </c>
      <c r="E112" s="9">
        <f t="shared" si="50"/>
        <v>0</v>
      </c>
      <c r="F112" s="9">
        <f t="shared" si="50"/>
        <v>0</v>
      </c>
      <c r="G112" s="9">
        <f t="shared" si="50"/>
        <v>0</v>
      </c>
      <c r="H112" s="9">
        <f t="shared" si="50"/>
        <v>0</v>
      </c>
    </row>
    <row r="113" spans="1:9">
      <c r="A113" s="9"/>
      <c r="B113" s="9">
        <f>D37*$B$90</f>
        <v>0</v>
      </c>
      <c r="C113" s="9">
        <f t="shared" si="46"/>
        <v>0</v>
      </c>
      <c r="D113" s="9">
        <f t="shared" si="50"/>
        <v>0</v>
      </c>
      <c r="E113" s="9">
        <f t="shared" si="50"/>
        <v>0</v>
      </c>
      <c r="F113" s="9">
        <f t="shared" si="50"/>
        <v>0</v>
      </c>
      <c r="G113" s="9">
        <f t="shared" si="50"/>
        <v>0</v>
      </c>
      <c r="H113" s="9">
        <f t="shared" si="50"/>
        <v>0</v>
      </c>
    </row>
    <row r="115" spans="1:9">
      <c r="C115" s="4"/>
      <c r="D115" s="6"/>
      <c r="E115" s="6"/>
      <c r="F115" s="6"/>
      <c r="G115" s="6"/>
      <c r="H115" s="6"/>
      <c r="I115" s="6"/>
    </row>
    <row r="116" spans="1:9">
      <c r="A116" t="s">
        <v>506</v>
      </c>
      <c r="C116" s="13"/>
      <c r="D116" s="13"/>
      <c r="E116" s="13"/>
      <c r="F116" s="13"/>
      <c r="G116" s="13"/>
      <c r="H116" s="13"/>
      <c r="I116" s="13"/>
    </row>
    <row r="117" spans="1:9">
      <c r="A117">
        <v>1</v>
      </c>
      <c r="B117" t="s">
        <v>558</v>
      </c>
    </row>
    <row r="118" spans="1:9">
      <c r="A118">
        <v>2</v>
      </c>
      <c r="B118" t="s">
        <v>559</v>
      </c>
    </row>
    <row r="119" spans="1:9">
      <c r="A119">
        <v>3</v>
      </c>
      <c r="B119" t="s">
        <v>509</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0866141732283472" right="0.70866141732283472" top="0.74803149606299213" bottom="0.74803149606299213" header="0.31496062992125984" footer="0.31496062992125984"/>
  <pageSetup scale="71" orientation="landscape" r:id="rId1"/>
  <rowBreaks count="1" manualBreakCount="1">
    <brk id="63" max="7" man="1"/>
  </rowBreaks>
  <colBreaks count="1" manualBreakCount="1">
    <brk id="8" max="113"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
  <sheetViews>
    <sheetView view="pageBreakPreview" topLeftCell="A11" zoomScale="84" zoomScaleSheetLayoutView="70" workbookViewId="0">
      <selection activeCell="I2" sqref="I2"/>
    </sheetView>
  </sheetViews>
  <sheetFormatPr defaultRowHeight="15"/>
  <cols>
    <col min="1" max="1" width="32.140625" customWidth="1"/>
    <col min="2" max="2" width="23.28515625" bestFit="1" customWidth="1"/>
    <col min="3" max="8" width="12.140625" customWidth="1"/>
    <col min="9" max="9" width="11.42578125" bestFit="1" customWidth="1"/>
    <col min="10" max="12" width="11.140625" bestFit="1" customWidth="1"/>
    <col min="13" max="14" width="10.7109375" bestFit="1" customWidth="1"/>
    <col min="15" max="15" width="12" bestFit="1" customWidth="1"/>
    <col min="16" max="16" width="11.5703125" bestFit="1" customWidth="1"/>
  </cols>
  <sheetData>
    <row r="1" spans="1:24" ht="18.75">
      <c r="A1" s="602" t="s">
        <v>949</v>
      </c>
      <c r="B1" s="602"/>
      <c r="C1" s="602"/>
      <c r="D1" s="602"/>
      <c r="E1" s="602"/>
      <c r="F1" s="602"/>
      <c r="G1" s="602"/>
      <c r="H1" s="602"/>
    </row>
    <row r="2" spans="1:24">
      <c r="B2" s="4"/>
    </row>
    <row r="3" spans="1:24" ht="18.75">
      <c r="A3" s="639" t="s">
        <v>538</v>
      </c>
      <c r="B3" s="639"/>
    </row>
    <row r="4" spans="1:24">
      <c r="A4" s="214" t="s">
        <v>0</v>
      </c>
      <c r="B4" s="225" t="s">
        <v>379</v>
      </c>
      <c r="C4" s="226"/>
      <c r="D4" s="226"/>
      <c r="E4" s="226"/>
      <c r="F4" s="226"/>
      <c r="G4" s="226"/>
      <c r="H4" s="226"/>
    </row>
    <row r="5" spans="1:24">
      <c r="A5" s="9" t="s">
        <v>474</v>
      </c>
      <c r="B5" s="211">
        <v>0</v>
      </c>
      <c r="D5" s="227"/>
      <c r="E5" s="227"/>
      <c r="F5" s="227"/>
      <c r="G5" s="227"/>
      <c r="H5" s="227"/>
      <c r="J5" s="531"/>
      <c r="K5" s="531"/>
      <c r="L5" s="531"/>
      <c r="M5" s="531"/>
      <c r="N5" s="531"/>
      <c r="O5" s="531"/>
      <c r="P5" s="531"/>
    </row>
    <row r="6" spans="1:24">
      <c r="A6" s="9" t="s">
        <v>475</v>
      </c>
      <c r="B6" s="211">
        <v>0</v>
      </c>
      <c r="D6" s="227"/>
      <c r="E6" s="227"/>
      <c r="F6" s="227"/>
      <c r="G6" s="227"/>
      <c r="H6" s="227"/>
      <c r="J6" s="531"/>
      <c r="K6" s="531"/>
      <c r="L6" s="531"/>
      <c r="M6" s="531"/>
      <c r="N6" s="531"/>
      <c r="O6" s="531"/>
      <c r="P6" s="531"/>
    </row>
    <row r="7" spans="1:24">
      <c r="A7" s="2" t="s">
        <v>1</v>
      </c>
      <c r="B7" s="2">
        <f>B5+B6</f>
        <v>0</v>
      </c>
      <c r="C7" s="5"/>
      <c r="D7" s="228"/>
      <c r="E7" s="228"/>
      <c r="F7" s="228"/>
      <c r="G7" s="228"/>
      <c r="H7" s="228"/>
    </row>
    <row r="8" spans="1:24">
      <c r="A8" s="2" t="s">
        <v>658</v>
      </c>
      <c r="B8" s="241">
        <v>1</v>
      </c>
      <c r="C8" s="5"/>
      <c r="D8" s="5"/>
      <c r="E8" s="5"/>
      <c r="F8" s="5"/>
      <c r="G8" s="5"/>
      <c r="H8" s="5"/>
    </row>
    <row r="9" spans="1:24">
      <c r="A9" s="2" t="s">
        <v>659</v>
      </c>
      <c r="B9" s="2">
        <f>+B7*B8</f>
        <v>0</v>
      </c>
      <c r="C9" s="228"/>
      <c r="D9" s="228"/>
      <c r="E9" s="228"/>
      <c r="F9" s="228"/>
      <c r="G9" s="228"/>
      <c r="H9" s="228"/>
    </row>
    <row r="11" spans="1:24" ht="18.75">
      <c r="A11" s="602" t="s">
        <v>539</v>
      </c>
      <c r="B11" s="602"/>
      <c r="C11" s="602"/>
      <c r="D11" s="602"/>
      <c r="E11" s="602"/>
      <c r="F11" s="602"/>
      <c r="G11" s="602"/>
      <c r="H11" s="602"/>
      <c r="I11" s="5"/>
      <c r="J11" s="5"/>
      <c r="K11" s="5"/>
      <c r="L11" s="5"/>
      <c r="M11" s="5"/>
      <c r="N11" s="5"/>
      <c r="O11" s="5"/>
      <c r="P11" s="5"/>
    </row>
    <row r="12" spans="1:24">
      <c r="J12" s="3"/>
      <c r="K12" s="223"/>
      <c r="L12" s="223"/>
      <c r="M12" s="223"/>
      <c r="N12" s="223"/>
      <c r="O12" s="3"/>
      <c r="P12" s="3"/>
      <c r="Q12" s="3"/>
      <c r="R12" s="3"/>
      <c r="S12" s="3"/>
      <c r="T12" s="3"/>
      <c r="U12" s="3"/>
      <c r="V12" s="6"/>
      <c r="W12" s="6"/>
      <c r="X12" s="6"/>
    </row>
    <row r="13" spans="1:24" ht="60">
      <c r="A13" s="214" t="s">
        <v>381</v>
      </c>
      <c r="B13" s="214" t="s">
        <v>382</v>
      </c>
      <c r="C13" s="215" t="s">
        <v>437</v>
      </c>
      <c r="D13" s="215" t="s">
        <v>660</v>
      </c>
      <c r="E13" s="215" t="s">
        <v>817</v>
      </c>
      <c r="F13" s="215" t="s">
        <v>818</v>
      </c>
      <c r="G13" s="215" t="s">
        <v>606</v>
      </c>
      <c r="H13" s="215" t="s">
        <v>819</v>
      </c>
      <c r="O13" s="222"/>
      <c r="P13" s="222"/>
      <c r="Q13" s="222"/>
      <c r="R13" s="222"/>
      <c r="S13" s="222"/>
      <c r="T13" s="222"/>
      <c r="U13" s="222"/>
      <c r="V13" s="222"/>
      <c r="W13" s="222"/>
      <c r="X13" s="222"/>
    </row>
    <row r="14" spans="1:24">
      <c r="A14" s="643"/>
      <c r="B14" s="211" t="s">
        <v>929</v>
      </c>
      <c r="C14" s="220">
        <v>0</v>
      </c>
      <c r="D14" s="439">
        <v>0</v>
      </c>
      <c r="E14" s="212">
        <v>2.5</v>
      </c>
      <c r="F14" s="364">
        <f>D14*E14</f>
        <v>0</v>
      </c>
      <c r="G14" s="221">
        <v>0.2</v>
      </c>
      <c r="H14" s="513">
        <f>F14*(1-G14)</f>
        <v>0</v>
      </c>
      <c r="J14" s="227"/>
    </row>
    <row r="15" spans="1:24">
      <c r="A15" s="644"/>
      <c r="B15" s="211" t="s">
        <v>700</v>
      </c>
      <c r="C15" s="220">
        <v>0</v>
      </c>
      <c r="D15" s="439">
        <v>0</v>
      </c>
      <c r="E15" s="212">
        <v>3.7</v>
      </c>
      <c r="F15" s="9">
        <v>0</v>
      </c>
      <c r="G15" s="221">
        <v>0.2</v>
      </c>
      <c r="H15" s="513">
        <v>0</v>
      </c>
      <c r="I15" s="380"/>
      <c r="J15" s="227"/>
    </row>
    <row r="16" spans="1:24">
      <c r="A16" s="644"/>
      <c r="B16" s="211" t="s">
        <v>700</v>
      </c>
      <c r="C16" s="220">
        <v>0.01</v>
      </c>
      <c r="D16" s="439">
        <v>0</v>
      </c>
      <c r="E16" s="212">
        <v>25</v>
      </c>
      <c r="F16" s="9">
        <v>0</v>
      </c>
      <c r="G16" s="221">
        <v>0.2</v>
      </c>
      <c r="H16" s="513">
        <v>0</v>
      </c>
      <c r="J16" s="227"/>
    </row>
    <row r="17" spans="1:10">
      <c r="A17" s="240"/>
      <c r="B17" s="235" t="s">
        <v>700</v>
      </c>
      <c r="C17" s="220">
        <v>0</v>
      </c>
      <c r="D17" s="439">
        <v>0</v>
      </c>
      <c r="E17" s="212">
        <v>0</v>
      </c>
      <c r="F17" s="9">
        <v>0</v>
      </c>
      <c r="G17" s="221">
        <v>0.2</v>
      </c>
      <c r="H17" s="513">
        <v>0</v>
      </c>
      <c r="J17" s="227"/>
    </row>
    <row r="18" spans="1:10">
      <c r="A18" s="240" t="s">
        <v>479</v>
      </c>
      <c r="B18" s="235" t="s">
        <v>700</v>
      </c>
      <c r="C18" s="220">
        <v>0</v>
      </c>
      <c r="D18" s="439">
        <v>0</v>
      </c>
      <c r="E18" s="212">
        <v>37</v>
      </c>
      <c r="F18" s="9">
        <v>0</v>
      </c>
      <c r="G18" s="221">
        <v>0.2</v>
      </c>
      <c r="H18" s="513">
        <f t="shared" ref="H18" si="0">+F18*0.8</f>
        <v>0</v>
      </c>
      <c r="J18" s="227"/>
    </row>
    <row r="19" spans="1:10">
      <c r="A19" s="240" t="s">
        <v>480</v>
      </c>
      <c r="B19" s="235"/>
      <c r="C19" s="211">
        <v>0</v>
      </c>
      <c r="D19" s="439"/>
      <c r="E19" s="212"/>
      <c r="F19" s="9"/>
      <c r="G19" s="221"/>
      <c r="H19" s="9"/>
    </row>
    <row r="20" spans="1:10">
      <c r="A20" s="642" t="s">
        <v>387</v>
      </c>
      <c r="B20" s="642"/>
      <c r="C20" s="642"/>
      <c r="D20" s="642"/>
      <c r="E20" s="642"/>
      <c r="F20" s="642"/>
      <c r="G20" s="642"/>
      <c r="H20" s="642"/>
    </row>
    <row r="22" spans="1:10" ht="18.75">
      <c r="A22" s="646" t="s">
        <v>540</v>
      </c>
      <c r="B22" s="647"/>
      <c r="C22" s="647"/>
      <c r="D22" s="647"/>
      <c r="E22" s="647"/>
      <c r="F22" s="647"/>
      <c r="G22" s="647"/>
      <c r="H22" s="648"/>
    </row>
    <row r="23" spans="1:10">
      <c r="A23" s="649" t="s">
        <v>0</v>
      </c>
      <c r="B23" s="231">
        <v>0.8</v>
      </c>
      <c r="C23" s="232">
        <f>B23+0.05</f>
        <v>0.85000000000000009</v>
      </c>
      <c r="D23" s="232">
        <f t="shared" ref="D23:H23" si="1">C23+0.05</f>
        <v>0.90000000000000013</v>
      </c>
      <c r="E23" s="232">
        <f t="shared" si="1"/>
        <v>0.95000000000000018</v>
      </c>
      <c r="F23" s="232">
        <f t="shared" si="1"/>
        <v>1.0000000000000002</v>
      </c>
      <c r="G23" s="232">
        <f t="shared" si="1"/>
        <v>1.0500000000000003</v>
      </c>
      <c r="H23" s="232">
        <f t="shared" si="1"/>
        <v>1.1000000000000003</v>
      </c>
    </row>
    <row r="24" spans="1:10">
      <c r="A24" s="650"/>
      <c r="B24" s="225" t="s">
        <v>2</v>
      </c>
      <c r="C24" s="225" t="s">
        <v>3</v>
      </c>
      <c r="D24" s="225" t="s">
        <v>4</v>
      </c>
      <c r="E24" s="225" t="s">
        <v>5</v>
      </c>
      <c r="F24" s="225" t="s">
        <v>6</v>
      </c>
      <c r="G24" s="225" t="s">
        <v>164</v>
      </c>
      <c r="H24" s="225" t="s">
        <v>163</v>
      </c>
    </row>
    <row r="25" spans="1:10">
      <c r="A25" s="9" t="str">
        <f>B14</f>
        <v>Paddy</v>
      </c>
      <c r="B25" s="9">
        <v>0</v>
      </c>
      <c r="C25" s="9">
        <v>0</v>
      </c>
      <c r="D25" s="9">
        <v>0</v>
      </c>
      <c r="E25" s="9">
        <v>0</v>
      </c>
      <c r="F25" s="9">
        <v>0</v>
      </c>
      <c r="G25" s="9">
        <v>0</v>
      </c>
      <c r="H25" s="9">
        <v>0</v>
      </c>
    </row>
    <row r="26" spans="1:10">
      <c r="A26" s="9" t="str">
        <f>B15</f>
        <v>-</v>
      </c>
      <c r="B26" s="9">
        <v>0</v>
      </c>
      <c r="C26" s="9">
        <v>0</v>
      </c>
      <c r="D26" s="9">
        <v>0</v>
      </c>
      <c r="E26" s="9">
        <v>0</v>
      </c>
      <c r="F26" s="9">
        <v>0</v>
      </c>
      <c r="G26" s="9">
        <v>0</v>
      </c>
      <c r="H26" s="9">
        <v>0</v>
      </c>
    </row>
    <row r="27" spans="1:10">
      <c r="A27" s="9" t="str">
        <f>B16</f>
        <v>-</v>
      </c>
      <c r="B27" s="9">
        <f t="shared" ref="B27:H27" si="2">+B26</f>
        <v>0</v>
      </c>
      <c r="C27" s="9">
        <f t="shared" si="2"/>
        <v>0</v>
      </c>
      <c r="D27" s="9">
        <f t="shared" si="2"/>
        <v>0</v>
      </c>
      <c r="E27" s="9">
        <f t="shared" si="2"/>
        <v>0</v>
      </c>
      <c r="F27" s="9">
        <f t="shared" si="2"/>
        <v>0</v>
      </c>
      <c r="G27" s="9">
        <f t="shared" si="2"/>
        <v>0</v>
      </c>
      <c r="H27" s="9">
        <f t="shared" si="2"/>
        <v>0</v>
      </c>
    </row>
    <row r="28" spans="1:10">
      <c r="A28" s="9" t="str">
        <f>B17</f>
        <v>-</v>
      </c>
      <c r="B28" s="9">
        <v>0</v>
      </c>
      <c r="C28" s="9">
        <v>0</v>
      </c>
      <c r="D28" s="9">
        <v>0</v>
      </c>
      <c r="E28" s="9">
        <v>0</v>
      </c>
      <c r="F28" s="9">
        <v>0</v>
      </c>
      <c r="G28" s="9">
        <v>0</v>
      </c>
      <c r="H28" s="9">
        <v>0</v>
      </c>
    </row>
    <row r="29" spans="1:10">
      <c r="A29" s="9" t="str">
        <f>B18</f>
        <v>-</v>
      </c>
      <c r="B29" s="9">
        <f>+B27</f>
        <v>0</v>
      </c>
      <c r="C29" s="9">
        <f t="shared" ref="C29:H29" si="3">+C27</f>
        <v>0</v>
      </c>
      <c r="D29" s="9">
        <f t="shared" si="3"/>
        <v>0</v>
      </c>
      <c r="E29" s="9">
        <f t="shared" si="3"/>
        <v>0</v>
      </c>
      <c r="F29" s="9">
        <f t="shared" si="3"/>
        <v>0</v>
      </c>
      <c r="G29" s="9">
        <f t="shared" si="3"/>
        <v>0</v>
      </c>
      <c r="H29" s="9">
        <f t="shared" si="3"/>
        <v>0</v>
      </c>
    </row>
    <row r="30" spans="1:10">
      <c r="A30" s="275"/>
      <c r="B30" s="276"/>
      <c r="C30" s="276"/>
      <c r="D30" s="276"/>
      <c r="E30" s="276"/>
      <c r="F30" s="276"/>
      <c r="G30" s="276"/>
      <c r="H30" s="277"/>
    </row>
    <row r="31" spans="1:10" ht="18.75">
      <c r="A31" s="651" t="s">
        <v>541</v>
      </c>
      <c r="B31" s="652"/>
      <c r="C31" s="652"/>
      <c r="D31" s="652"/>
      <c r="E31" s="652"/>
      <c r="F31" s="652"/>
      <c r="G31" s="652"/>
      <c r="H31" s="653"/>
    </row>
    <row r="32" spans="1:10">
      <c r="A32" s="654" t="s">
        <v>0</v>
      </c>
      <c r="B32" s="231">
        <v>0.2</v>
      </c>
      <c r="C32" s="232">
        <f>B32+0.05</f>
        <v>0.25</v>
      </c>
      <c r="D32" s="232">
        <f t="shared" ref="D32:H32" si="4">C32+0.05</f>
        <v>0.3</v>
      </c>
      <c r="E32" s="232">
        <f t="shared" si="4"/>
        <v>0.35</v>
      </c>
      <c r="F32" s="232">
        <f t="shared" si="4"/>
        <v>0.39999999999999997</v>
      </c>
      <c r="G32" s="232">
        <f t="shared" si="4"/>
        <v>0.44999999999999996</v>
      </c>
      <c r="H32" s="232">
        <f t="shared" si="4"/>
        <v>0.49999999999999994</v>
      </c>
    </row>
    <row r="33" spans="1:9">
      <c r="A33" s="655"/>
      <c r="B33" s="225" t="s">
        <v>2</v>
      </c>
      <c r="C33" s="225" t="s">
        <v>3</v>
      </c>
      <c r="D33" s="225" t="s">
        <v>4</v>
      </c>
      <c r="E33" s="225" t="s">
        <v>5</v>
      </c>
      <c r="F33" s="225" t="s">
        <v>6</v>
      </c>
      <c r="G33" s="225" t="s">
        <v>164</v>
      </c>
      <c r="H33" s="225" t="s">
        <v>163</v>
      </c>
    </row>
    <row r="34" spans="1:9">
      <c r="A34" s="9" t="str">
        <f>+B14</f>
        <v>Paddy</v>
      </c>
      <c r="B34" s="9">
        <f>+'13.Facility 2 Grain Processing-'!B35</f>
        <v>0</v>
      </c>
      <c r="C34" s="9">
        <f>+'13.Facility 2 Grain Processing-'!C35</f>
        <v>0</v>
      </c>
      <c r="D34" s="9">
        <f>+'13.Facility 2 Grain Processing-'!D35</f>
        <v>0</v>
      </c>
      <c r="E34" s="9">
        <f>+'13.Facility 2 Grain Processing-'!E35</f>
        <v>0</v>
      </c>
      <c r="F34" s="9">
        <f>+'13.Facility 2 Grain Processing-'!F35</f>
        <v>0</v>
      </c>
      <c r="G34" s="9">
        <f>+'13.Facility 2 Grain Processing-'!G35</f>
        <v>0</v>
      </c>
      <c r="H34" s="9">
        <f>+'13.Facility 2 Grain Processing-'!H35</f>
        <v>0</v>
      </c>
    </row>
    <row r="35" spans="1:9">
      <c r="A35" s="9" t="str">
        <f>A26</f>
        <v>-</v>
      </c>
      <c r="B35" s="9">
        <f>+'13.Facility 2 Grain Processing-'!B36</f>
        <v>0</v>
      </c>
      <c r="C35" s="9">
        <f>+'13.Facility 2 Grain Processing-'!C36</f>
        <v>0</v>
      </c>
      <c r="D35" s="9">
        <f>+'13.Facility 2 Grain Processing-'!D36</f>
        <v>0</v>
      </c>
      <c r="E35" s="9">
        <f>+'13.Facility 2 Grain Processing-'!E36</f>
        <v>0</v>
      </c>
      <c r="F35" s="9">
        <f>+'13.Facility 2 Grain Processing-'!F36</f>
        <v>0</v>
      </c>
      <c r="G35" s="9">
        <f>+'13.Facility 2 Grain Processing-'!G36</f>
        <v>0</v>
      </c>
      <c r="H35" s="9">
        <f>+'13.Facility 2 Grain Processing-'!H36</f>
        <v>0</v>
      </c>
    </row>
    <row r="36" spans="1:9">
      <c r="A36" s="9" t="str">
        <f>A27</f>
        <v>-</v>
      </c>
      <c r="B36" s="9">
        <f>+'13.Facility 2 Grain Processing-'!B35</f>
        <v>0</v>
      </c>
      <c r="C36" s="9">
        <f>+'13.Facility 2 Grain Processing-'!C35</f>
        <v>0</v>
      </c>
      <c r="D36" s="9">
        <f>+'13.Facility 2 Grain Processing-'!D35</f>
        <v>0</v>
      </c>
      <c r="E36" s="9">
        <f>+'13.Facility 2 Grain Processing-'!E35</f>
        <v>0</v>
      </c>
      <c r="F36" s="9">
        <f>+'13.Facility 2 Grain Processing-'!F35</f>
        <v>0</v>
      </c>
      <c r="G36" s="9">
        <f>+'13.Facility 2 Grain Processing-'!G35</f>
        <v>0</v>
      </c>
      <c r="H36" s="9">
        <f>+'13.Facility 2 Grain Processing-'!H35</f>
        <v>0</v>
      </c>
    </row>
    <row r="37" spans="1:9">
      <c r="A37" s="9" t="str">
        <f>A28</f>
        <v>-</v>
      </c>
      <c r="B37" s="9">
        <v>0</v>
      </c>
      <c r="C37" s="9">
        <v>0</v>
      </c>
      <c r="D37" s="9">
        <v>0</v>
      </c>
      <c r="E37" s="9">
        <v>0</v>
      </c>
      <c r="F37" s="9">
        <v>0</v>
      </c>
      <c r="G37" s="9">
        <v>0</v>
      </c>
      <c r="H37" s="9">
        <v>0</v>
      </c>
    </row>
    <row r="38" spans="1:9">
      <c r="A38" s="9" t="str">
        <f>A29</f>
        <v>-</v>
      </c>
      <c r="C38" s="9">
        <v>0</v>
      </c>
      <c r="D38" s="9">
        <v>0</v>
      </c>
      <c r="E38" s="9">
        <v>0</v>
      </c>
      <c r="F38" s="9">
        <v>0</v>
      </c>
      <c r="G38" s="9">
        <v>0</v>
      </c>
      <c r="H38" s="9">
        <v>0</v>
      </c>
    </row>
    <row r="39" spans="1:9">
      <c r="A39" s="9">
        <f t="shared" ref="A39" si="5">A30</f>
        <v>0</v>
      </c>
      <c r="B39" s="9">
        <f t="shared" ref="B39:H39" si="6">SUM(B34:B38)</f>
        <v>0</v>
      </c>
      <c r="C39" s="9">
        <f>SUM(C34:C38)</f>
        <v>0</v>
      </c>
      <c r="D39" s="9">
        <f>SUM(D34:D38)</f>
        <v>0</v>
      </c>
      <c r="E39" s="9">
        <f t="shared" si="6"/>
        <v>0</v>
      </c>
      <c r="F39" s="9">
        <f t="shared" si="6"/>
        <v>0</v>
      </c>
      <c r="G39" s="9">
        <f t="shared" si="6"/>
        <v>0</v>
      </c>
      <c r="H39" s="9">
        <f t="shared" si="6"/>
        <v>0</v>
      </c>
    </row>
    <row r="40" spans="1:9">
      <c r="A40" s="275"/>
      <c r="B40" s="276"/>
      <c r="C40" s="276"/>
      <c r="D40" s="276"/>
      <c r="E40" s="276"/>
      <c r="F40" s="276"/>
      <c r="G40" s="276"/>
      <c r="H40" s="277"/>
    </row>
    <row r="41" spans="1:9" ht="18.75">
      <c r="A41" s="651" t="s">
        <v>542</v>
      </c>
      <c r="B41" s="652"/>
      <c r="C41" s="652"/>
      <c r="D41" s="652"/>
      <c r="E41" s="652"/>
      <c r="F41" s="652"/>
      <c r="G41" s="652"/>
      <c r="H41" s="653"/>
    </row>
    <row r="42" spans="1:9">
      <c r="A42" s="640" t="s">
        <v>0</v>
      </c>
      <c r="B42" s="247">
        <v>1</v>
      </c>
      <c r="C42" s="247">
        <v>1</v>
      </c>
      <c r="D42" s="247">
        <v>1</v>
      </c>
      <c r="E42" s="247">
        <v>1</v>
      </c>
      <c r="F42" s="247">
        <v>1</v>
      </c>
      <c r="G42" s="247">
        <v>1</v>
      </c>
      <c r="H42" s="247">
        <v>1</v>
      </c>
    </row>
    <row r="43" spans="1:9">
      <c r="A43" s="641"/>
      <c r="B43" s="225" t="s">
        <v>2</v>
      </c>
      <c r="C43" s="225" t="s">
        <v>3</v>
      </c>
      <c r="D43" s="225" t="s">
        <v>4</v>
      </c>
      <c r="E43" s="225" t="s">
        <v>5</v>
      </c>
      <c r="F43" s="225" t="s">
        <v>6</v>
      </c>
      <c r="G43" s="225" t="s">
        <v>164</v>
      </c>
      <c r="H43" s="225" t="s">
        <v>163</v>
      </c>
    </row>
    <row r="44" spans="1:9">
      <c r="A44" s="9"/>
      <c r="B44" s="9"/>
      <c r="C44" s="9"/>
      <c r="D44" s="9"/>
      <c r="E44" s="9"/>
      <c r="F44" s="9"/>
      <c r="G44" s="9"/>
      <c r="H44" s="9"/>
    </row>
    <row r="45" spans="1:9">
      <c r="A45" s="9" t="str">
        <f>A35</f>
        <v>-</v>
      </c>
      <c r="B45" s="9">
        <v>0</v>
      </c>
      <c r="C45" s="9">
        <v>0</v>
      </c>
      <c r="D45" s="9">
        <f t="shared" ref="D45:H45" si="7">(C45/C$42)*D$42</f>
        <v>0</v>
      </c>
      <c r="E45" s="9">
        <f t="shared" si="7"/>
        <v>0</v>
      </c>
      <c r="F45" s="9">
        <f t="shared" si="7"/>
        <v>0</v>
      </c>
      <c r="G45" s="9">
        <f t="shared" si="7"/>
        <v>0</v>
      </c>
      <c r="H45" s="9">
        <f t="shared" si="7"/>
        <v>0</v>
      </c>
    </row>
    <row r="47" spans="1:9">
      <c r="C47" s="4"/>
      <c r="D47" s="6"/>
      <c r="E47" s="6"/>
      <c r="F47" s="6"/>
      <c r="G47" s="6"/>
      <c r="H47" s="6"/>
      <c r="I47" s="6"/>
    </row>
    <row r="48" spans="1:9">
      <c r="A48" t="s">
        <v>506</v>
      </c>
      <c r="C48" s="13"/>
      <c r="D48" s="13"/>
      <c r="E48" s="13"/>
      <c r="F48" s="13"/>
      <c r="G48" s="13"/>
      <c r="H48" s="13"/>
      <c r="I48" s="13"/>
    </row>
    <row r="49" spans="1:2">
      <c r="A49">
        <v>1</v>
      </c>
      <c r="B49" t="s">
        <v>507</v>
      </c>
    </row>
    <row r="50" spans="1:2">
      <c r="A50">
        <v>2</v>
      </c>
      <c r="B50" t="s">
        <v>508</v>
      </c>
    </row>
    <row r="51" spans="1:2">
      <c r="A51">
        <v>3</v>
      </c>
      <c r="B51" t="s">
        <v>509</v>
      </c>
    </row>
  </sheetData>
  <mergeCells count="11">
    <mergeCell ref="A41:H41"/>
    <mergeCell ref="A42:A43"/>
    <mergeCell ref="A3:B3"/>
    <mergeCell ref="A11:H11"/>
    <mergeCell ref="A20:H20"/>
    <mergeCell ref="A14:A16"/>
    <mergeCell ref="A1:H1"/>
    <mergeCell ref="A22:H22"/>
    <mergeCell ref="A23:A24"/>
    <mergeCell ref="A31:H31"/>
    <mergeCell ref="A32:A33"/>
  </mergeCells>
  <pageMargins left="0.7" right="0.7" top="0.75" bottom="0.75" header="0.3" footer="0.3"/>
  <pageSetup scale="95" fitToHeight="0" orientation="landscape" horizontalDpi="4294967293" r:id="rId1"/>
  <rowBreaks count="1" manualBreakCount="1">
    <brk id="30"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1"/>
  <sheetViews>
    <sheetView view="pageBreakPreview" zoomScale="80" zoomScaleSheetLayoutView="80" workbookViewId="0">
      <selection activeCell="B7" sqref="B7:J22"/>
    </sheetView>
  </sheetViews>
  <sheetFormatPr defaultRowHeight="15"/>
  <cols>
    <col min="2" max="2" width="32.7109375" bestFit="1" customWidth="1"/>
    <col min="3" max="3" width="15.7109375" customWidth="1"/>
    <col min="4" max="9" width="10.140625"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659" t="s">
        <v>526</v>
      </c>
      <c r="C5" s="659"/>
      <c r="D5" s="659"/>
      <c r="E5" s="659"/>
      <c r="F5" s="659"/>
      <c r="G5" s="659"/>
      <c r="H5" s="659"/>
      <c r="I5" s="659"/>
      <c r="J5" s="659"/>
    </row>
    <row r="6" spans="2:12" ht="16.5">
      <c r="B6" s="7"/>
      <c r="C6" s="7"/>
      <c r="D6" s="7"/>
      <c r="E6" s="7"/>
      <c r="F6" s="7"/>
      <c r="G6" s="7"/>
      <c r="H6" s="7"/>
      <c r="I6" s="7"/>
      <c r="J6" s="7"/>
    </row>
    <row r="7" spans="2:12" ht="15.75">
      <c r="B7" s="58" t="s">
        <v>28</v>
      </c>
      <c r="C7" s="59" t="s">
        <v>324</v>
      </c>
      <c r="D7" s="59" t="s">
        <v>2</v>
      </c>
      <c r="E7" s="59" t="s">
        <v>3</v>
      </c>
      <c r="F7" s="59" t="s">
        <v>4</v>
      </c>
      <c r="G7" s="59" t="s">
        <v>5</v>
      </c>
      <c r="H7" s="59" t="s">
        <v>6</v>
      </c>
      <c r="I7" s="59" t="s">
        <v>164</v>
      </c>
      <c r="J7" s="59" t="s">
        <v>163</v>
      </c>
      <c r="L7" s="266"/>
    </row>
    <row r="8" spans="2:12">
      <c r="B8" s="48"/>
      <c r="C8" s="48"/>
      <c r="D8" s="48"/>
      <c r="E8" s="48"/>
      <c r="F8" s="48"/>
      <c r="G8" s="48"/>
      <c r="H8" s="48"/>
      <c r="I8" s="48"/>
      <c r="J8" s="48"/>
    </row>
    <row r="9" spans="2:12">
      <c r="B9" s="48" t="s">
        <v>29</v>
      </c>
      <c r="C9" s="48"/>
      <c r="D9" s="60">
        <f>'6.Cons Profit &amp; Loss'!B56</f>
        <v>25.560632046064043</v>
      </c>
      <c r="E9" s="60">
        <f>'6.Cons Profit &amp; Loss'!C56</f>
        <v>26.827383256714192</v>
      </c>
      <c r="F9" s="60">
        <f>'6.Cons Profit &amp; Loss'!D56</f>
        <v>28.270154719288101</v>
      </c>
      <c r="G9" s="60">
        <f>'6.Cons Profit &amp; Loss'!E56</f>
        <v>29.879884098298614</v>
      </c>
      <c r="H9" s="60">
        <f>'6.Cons Profit &amp; Loss'!F56</f>
        <v>31.366868757104264</v>
      </c>
      <c r="I9" s="60">
        <f>'6.Cons Profit &amp; Loss'!G56</f>
        <v>36.033973764068463</v>
      </c>
      <c r="J9" s="60">
        <f>'6.Cons Profit &amp; Loss'!H56</f>
        <v>40.674201147144842</v>
      </c>
    </row>
    <row r="10" spans="2:12">
      <c r="B10" s="48"/>
      <c r="C10" s="48"/>
      <c r="D10" s="60"/>
      <c r="E10" s="60"/>
      <c r="F10" s="60"/>
      <c r="G10" s="60"/>
      <c r="H10" s="60"/>
      <c r="I10" s="60"/>
      <c r="J10" s="60"/>
    </row>
    <row r="11" spans="2:12">
      <c r="B11" s="51" t="s">
        <v>30</v>
      </c>
      <c r="C11" s="51"/>
      <c r="D11" s="60">
        <f>'6.Cons Profit &amp; Loss'!B46</f>
        <v>6.8592830929999993</v>
      </c>
      <c r="E11" s="60">
        <f>'6.Cons Profit &amp; Loss'!C46</f>
        <v>6.8592830929999993</v>
      </c>
      <c r="F11" s="60">
        <f>'6.Cons Profit &amp; Loss'!D46</f>
        <v>6.8592830929999993</v>
      </c>
      <c r="G11" s="60">
        <f>'6.Cons Profit &amp; Loss'!E46</f>
        <v>6.8592830929999993</v>
      </c>
      <c r="H11" s="60">
        <f>'6.Cons Profit &amp; Loss'!F46</f>
        <v>6.8592830929999993</v>
      </c>
      <c r="I11" s="60">
        <f>'6.Cons Profit &amp; Loss'!G46</f>
        <v>6.8592830929999993</v>
      </c>
      <c r="J11" s="60">
        <f>'6.Cons Profit &amp; Loss'!H46</f>
        <v>6.8592830929999993</v>
      </c>
    </row>
    <row r="12" spans="2:12">
      <c r="B12" s="48" t="s">
        <v>35</v>
      </c>
      <c r="C12" s="48"/>
      <c r="D12" s="60">
        <f>'6.Cons Profit &amp; Loss'!B47</f>
        <v>1.0765006428571426</v>
      </c>
      <c r="E12" s="60">
        <f>'6.Cons Profit &amp; Loss'!C47</f>
        <v>1.0765006428571426</v>
      </c>
      <c r="F12" s="60">
        <f>'6.Cons Profit &amp; Loss'!D47</f>
        <v>1.0765006428571426</v>
      </c>
      <c r="G12" s="60">
        <f>'6.Cons Profit &amp; Loss'!E47</f>
        <v>1.0765006428571426</v>
      </c>
      <c r="H12" s="60">
        <f>'6.Cons Profit &amp; Loss'!F47</f>
        <v>1.0765006428571426</v>
      </c>
      <c r="I12" s="60">
        <f>'6.Cons Profit &amp; Loss'!G47</f>
        <v>1.0765006428571426</v>
      </c>
      <c r="J12" s="60">
        <f>'6.Cons Profit &amp; Loss'!H47</f>
        <v>1.0765006428571426</v>
      </c>
    </row>
    <row r="13" spans="2:12">
      <c r="B13" s="48"/>
      <c r="C13" s="48"/>
      <c r="D13" s="48"/>
      <c r="E13" s="48"/>
      <c r="F13" s="48"/>
      <c r="G13" s="48"/>
      <c r="H13" s="48"/>
      <c r="I13" s="48"/>
      <c r="J13" s="48"/>
    </row>
    <row r="14" spans="2:12">
      <c r="B14" s="48" t="s">
        <v>31</v>
      </c>
      <c r="C14" s="48"/>
      <c r="D14" s="60">
        <f>SUM(D9:D12)</f>
        <v>33.496415781921186</v>
      </c>
      <c r="E14" s="60">
        <f t="shared" ref="E14:J14" si="0">SUM(E9:E12)</f>
        <v>34.763166992571335</v>
      </c>
      <c r="F14" s="60">
        <f t="shared" si="0"/>
        <v>36.205938455145244</v>
      </c>
      <c r="G14" s="60">
        <f t="shared" si="0"/>
        <v>37.815667834155754</v>
      </c>
      <c r="H14" s="60">
        <f t="shared" si="0"/>
        <v>39.302652492961407</v>
      </c>
      <c r="I14" s="60">
        <f t="shared" si="0"/>
        <v>43.969757499925606</v>
      </c>
      <c r="J14" s="60">
        <f t="shared" si="0"/>
        <v>48.609984883001985</v>
      </c>
    </row>
    <row r="15" spans="2:12">
      <c r="B15" s="48" t="s">
        <v>333</v>
      </c>
      <c r="C15" s="61">
        <f>-'1.Project Cost and MOF'!D12</f>
        <v>-159.61999530520831</v>
      </c>
      <c r="D15" s="60">
        <f>D14</f>
        <v>33.496415781921186</v>
      </c>
      <c r="E15" s="60">
        <f t="shared" ref="E15:J15" si="1">E14</f>
        <v>34.763166992571335</v>
      </c>
      <c r="F15" s="60">
        <f t="shared" si="1"/>
        <v>36.205938455145244</v>
      </c>
      <c r="G15" s="60">
        <f t="shared" si="1"/>
        <v>37.815667834155754</v>
      </c>
      <c r="H15" s="60">
        <f t="shared" si="1"/>
        <v>39.302652492961407</v>
      </c>
      <c r="I15" s="60">
        <f t="shared" si="1"/>
        <v>43.969757499925606</v>
      </c>
      <c r="J15" s="60">
        <f t="shared" si="1"/>
        <v>48.609984883001985</v>
      </c>
    </row>
    <row r="16" spans="2:12">
      <c r="B16" s="48" t="s">
        <v>272</v>
      </c>
      <c r="C16" s="536">
        <f>IRR(C15:J15)</f>
        <v>0.14615526555238123</v>
      </c>
      <c r="D16" s="60"/>
      <c r="E16" s="60"/>
      <c r="F16" s="60"/>
      <c r="G16" s="60"/>
      <c r="H16" s="60"/>
      <c r="I16" s="60"/>
      <c r="J16" s="60"/>
    </row>
    <row r="17" spans="2:19">
      <c r="B17" s="48"/>
      <c r="C17" s="48"/>
      <c r="D17" s="48"/>
      <c r="E17" s="48"/>
      <c r="F17" s="48"/>
      <c r="G17" s="48"/>
      <c r="H17" s="48"/>
      <c r="I17" s="48"/>
      <c r="J17" s="48"/>
    </row>
    <row r="18" spans="2:19" ht="16.5">
      <c r="B18" s="199" t="s">
        <v>391</v>
      </c>
      <c r="C18" s="199"/>
      <c r="D18" s="200">
        <f>1/(1+$C$16)</f>
        <v>0.8724821409933996</v>
      </c>
      <c r="E18" s="201">
        <f t="shared" ref="E18:J18" si="2">D18/(1+$C$16)</f>
        <v>0.76122508635242636</v>
      </c>
      <c r="F18" s="201">
        <f t="shared" si="2"/>
        <v>0.6641552931186504</v>
      </c>
      <c r="G18" s="201">
        <f t="shared" si="2"/>
        <v>0.57946363209225893</v>
      </c>
      <c r="H18" s="201">
        <f t="shared" si="2"/>
        <v>0.50557167035566564</v>
      </c>
      <c r="I18" s="201">
        <f t="shared" si="2"/>
        <v>0.4411022533775204</v>
      </c>
      <c r="J18" s="201">
        <f t="shared" si="2"/>
        <v>0.38485383842383203</v>
      </c>
      <c r="L18" s="14"/>
      <c r="M18" s="14"/>
      <c r="N18" s="14"/>
      <c r="O18" s="14"/>
      <c r="P18" s="14"/>
      <c r="Q18" s="14"/>
      <c r="R18" s="14"/>
      <c r="S18" s="14"/>
    </row>
    <row r="19" spans="2:19">
      <c r="B19" s="48" t="s">
        <v>32</v>
      </c>
      <c r="C19" s="48"/>
      <c r="D19" s="60">
        <f t="shared" ref="D19:J19" si="3">D14*D18</f>
        <v>29.225024557015697</v>
      </c>
      <c r="E19" s="60">
        <f t="shared" si="3"/>
        <v>26.462594795803934</v>
      </c>
      <c r="F19" s="60">
        <f t="shared" si="3"/>
        <v>24.046365667312806</v>
      </c>
      <c r="G19" s="60">
        <f t="shared" si="3"/>
        <v>21.912804233174299</v>
      </c>
      <c r="H19" s="60">
        <f t="shared" si="3"/>
        <v>19.870307670274766</v>
      </c>
      <c r="I19" s="60">
        <f t="shared" si="3"/>
        <v>19.395159113680315</v>
      </c>
      <c r="J19" s="60">
        <f t="shared" si="3"/>
        <v>18.707739267947762</v>
      </c>
      <c r="L19" s="6"/>
    </row>
    <row r="20" spans="2:19">
      <c r="B20" s="48" t="s">
        <v>33</v>
      </c>
      <c r="C20" s="48"/>
      <c r="D20" s="665">
        <f>SUM(D19:J19)</f>
        <v>159.61999530520959</v>
      </c>
      <c r="E20" s="665"/>
      <c r="F20" s="665"/>
      <c r="G20" s="665"/>
      <c r="H20" s="665"/>
      <c r="I20" s="665"/>
      <c r="J20" s="665"/>
      <c r="L20" s="6"/>
    </row>
    <row r="21" spans="2:19">
      <c r="B21" s="48"/>
      <c r="C21" s="48"/>
      <c r="D21" s="60"/>
      <c r="E21" s="60"/>
      <c r="F21" s="60"/>
      <c r="G21" s="60"/>
      <c r="H21" s="60"/>
      <c r="I21" s="60"/>
      <c r="J21" s="60"/>
    </row>
    <row r="22" spans="2:19">
      <c r="B22" s="8" t="s">
        <v>34</v>
      </c>
      <c r="C22" s="8"/>
      <c r="D22" s="666">
        <f>'1.Project Cost and MOF'!D12</f>
        <v>159.61999530520831</v>
      </c>
      <c r="E22" s="666"/>
      <c r="F22" s="666"/>
      <c r="G22" s="666"/>
      <c r="H22" s="666"/>
      <c r="I22" s="666"/>
      <c r="J22" s="666"/>
    </row>
    <row r="23" spans="2:19">
      <c r="F23" s="14">
        <f>D20-D22</f>
        <v>1.2789769243681803E-12</v>
      </c>
    </row>
    <row r="24" spans="2:19" ht="29.45" customHeight="1">
      <c r="B24" s="660" t="s">
        <v>409</v>
      </c>
      <c r="C24" s="660"/>
      <c r="D24" s="660"/>
      <c r="E24" s="660"/>
      <c r="F24" s="660"/>
      <c r="G24" s="660"/>
      <c r="H24" s="660"/>
      <c r="I24" s="660"/>
      <c r="J24" s="660"/>
    </row>
    <row r="25" spans="2:19">
      <c r="K25" s="14"/>
      <c r="L25" s="14"/>
      <c r="M25" s="14"/>
    </row>
    <row r="26" spans="2:19" ht="18.75">
      <c r="B26" s="602" t="s">
        <v>527</v>
      </c>
      <c r="C26" s="602"/>
      <c r="D26" s="602"/>
      <c r="E26" s="602"/>
      <c r="F26" s="602"/>
      <c r="G26" s="602"/>
      <c r="H26" s="602"/>
      <c r="I26" s="602"/>
    </row>
    <row r="27" spans="2:19">
      <c r="K27" s="14"/>
    </row>
    <row r="28" spans="2:19">
      <c r="B28" s="77" t="s">
        <v>0</v>
      </c>
      <c r="C28" s="70" t="s">
        <v>2</v>
      </c>
      <c r="D28" s="70" t="s">
        <v>3</v>
      </c>
      <c r="E28" s="70" t="s">
        <v>4</v>
      </c>
      <c r="F28" s="70" t="s">
        <v>5</v>
      </c>
      <c r="G28" s="70" t="s">
        <v>6</v>
      </c>
      <c r="H28" s="70" t="s">
        <v>164</v>
      </c>
      <c r="I28" s="70" t="s">
        <v>163</v>
      </c>
    </row>
    <row r="29" spans="2:19">
      <c r="B29" s="63"/>
      <c r="C29" s="63"/>
      <c r="D29" s="63"/>
      <c r="E29" s="63"/>
      <c r="F29" s="63"/>
      <c r="G29" s="63"/>
      <c r="H29" s="63"/>
      <c r="I29" s="63"/>
    </row>
    <row r="30" spans="2:19">
      <c r="B30" s="63" t="s">
        <v>26</v>
      </c>
      <c r="C30" s="63"/>
      <c r="D30" s="63"/>
      <c r="E30" s="63"/>
      <c r="F30" s="63"/>
      <c r="G30" s="63"/>
      <c r="H30" s="63"/>
      <c r="I30" s="63"/>
    </row>
    <row r="31" spans="2:19">
      <c r="B31" s="63"/>
      <c r="C31" s="64"/>
      <c r="D31" s="64"/>
      <c r="E31" s="64"/>
      <c r="F31" s="64"/>
      <c r="G31" s="64"/>
      <c r="H31" s="64"/>
      <c r="I31" s="64"/>
    </row>
    <row r="32" spans="2:19">
      <c r="B32" s="74" t="str">
        <f>'6.Cons Profit &amp; Loss'!A8</f>
        <v>Faclitiy 1 - Cleaning &amp; Grading</v>
      </c>
      <c r="C32" s="64">
        <f>'6.Cons Profit &amp; Loss'!B8</f>
        <v>0</v>
      </c>
      <c r="D32" s="64">
        <f>'6.Cons Profit &amp; Loss'!C8</f>
        <v>0</v>
      </c>
      <c r="E32" s="64">
        <f>'6.Cons Profit &amp; Loss'!D8</f>
        <v>0</v>
      </c>
      <c r="F32" s="64">
        <f>'6.Cons Profit &amp; Loss'!E8</f>
        <v>0</v>
      </c>
      <c r="G32" s="64">
        <f>'6.Cons Profit &amp; Loss'!F8</f>
        <v>0</v>
      </c>
      <c r="H32" s="64">
        <f>'6.Cons Profit &amp; Loss'!G8</f>
        <v>0</v>
      </c>
      <c r="I32" s="64">
        <f>'6.Cons Profit &amp; Loss'!H8</f>
        <v>0</v>
      </c>
    </row>
    <row r="33" spans="2:10">
      <c r="B33" s="74" t="str">
        <f>'6.Cons Profit &amp; Loss'!A9</f>
        <v>Facility 6 - Processing Unit - Horti Commodity</v>
      </c>
      <c r="C33" s="64">
        <f>'6.Cons Profit &amp; Loss'!B9</f>
        <v>0</v>
      </c>
      <c r="D33" s="64">
        <f>'6.Cons Profit &amp; Loss'!C9</f>
        <v>0</v>
      </c>
      <c r="E33" s="64">
        <f>'6.Cons Profit &amp; Loss'!D9</f>
        <v>0</v>
      </c>
      <c r="F33" s="64">
        <f>'6.Cons Profit &amp; Loss'!E9</f>
        <v>0</v>
      </c>
      <c r="G33" s="64">
        <f>'6.Cons Profit &amp; Loss'!F9</f>
        <v>0</v>
      </c>
      <c r="H33" s="64">
        <f>'6.Cons Profit &amp; Loss'!G9</f>
        <v>0</v>
      </c>
      <c r="I33" s="64">
        <f>'6.Cons Profit &amp; Loss'!H9</f>
        <v>0</v>
      </c>
    </row>
    <row r="34" spans="2:10">
      <c r="B34" s="74" t="str">
        <f>'6.Cons Profit &amp; Loss'!A10</f>
        <v>Faclitiy 3 - Warehouse</v>
      </c>
      <c r="C34" s="64">
        <f>'6.Cons Profit &amp; Loss'!B10</f>
        <v>0</v>
      </c>
      <c r="D34" s="64">
        <f>'6.Cons Profit &amp; Loss'!C10</f>
        <v>0</v>
      </c>
      <c r="E34" s="64">
        <f>'6.Cons Profit &amp; Loss'!D10</f>
        <v>0</v>
      </c>
      <c r="F34" s="64">
        <f>'6.Cons Profit &amp; Loss'!E10</f>
        <v>0</v>
      </c>
      <c r="G34" s="64">
        <f>'6.Cons Profit &amp; Loss'!F10</f>
        <v>0</v>
      </c>
      <c r="H34" s="64">
        <f>'6.Cons Profit &amp; Loss'!G10</f>
        <v>0</v>
      </c>
      <c r="I34" s="64">
        <f>'6.Cons Profit &amp; Loss'!H10</f>
        <v>0</v>
      </c>
    </row>
    <row r="35" spans="2:10">
      <c r="B35" s="74" t="str">
        <f>'6.Cons Profit &amp; Loss'!A11</f>
        <v xml:space="preserve">Faclitiy 4 - Custom Hiring </v>
      </c>
      <c r="C35" s="64">
        <f>'6.Cons Profit &amp; Loss'!B11</f>
        <v>0</v>
      </c>
      <c r="D35" s="64">
        <f>'6.Cons Profit &amp; Loss'!C11</f>
        <v>0</v>
      </c>
      <c r="E35" s="64">
        <f>'6.Cons Profit &amp; Loss'!D11</f>
        <v>0</v>
      </c>
      <c r="F35" s="64">
        <f>'6.Cons Profit &amp; Loss'!E11</f>
        <v>0</v>
      </c>
      <c r="G35" s="64">
        <f>'6.Cons Profit &amp; Loss'!F11</f>
        <v>0</v>
      </c>
      <c r="H35" s="64">
        <f>'6.Cons Profit &amp; Loss'!G11</f>
        <v>0</v>
      </c>
      <c r="I35" s="64">
        <f>'6.Cons Profit &amp; Loss'!H11</f>
        <v>0</v>
      </c>
    </row>
    <row r="36" spans="2:10">
      <c r="B36" s="74" t="str">
        <f>'6.Cons Profit &amp; Loss'!A12</f>
        <v>Faclitiy 5 - Agri Input Centre</v>
      </c>
      <c r="C36" s="64">
        <f>'6.Cons Profit &amp; Loss'!B12</f>
        <v>0</v>
      </c>
      <c r="D36" s="64">
        <f>'6.Cons Profit &amp; Loss'!C12</f>
        <v>0</v>
      </c>
      <c r="E36" s="64">
        <f>'6.Cons Profit &amp; Loss'!D12</f>
        <v>0</v>
      </c>
      <c r="F36" s="64">
        <f>'6.Cons Profit &amp; Loss'!E12</f>
        <v>0</v>
      </c>
      <c r="G36" s="64">
        <f>'6.Cons Profit &amp; Loss'!F12</f>
        <v>0</v>
      </c>
      <c r="H36" s="64">
        <f>'6.Cons Profit &amp; Loss'!G12</f>
        <v>0</v>
      </c>
      <c r="I36" s="64">
        <f>'6.Cons Profit &amp; Loss'!H12</f>
        <v>0</v>
      </c>
    </row>
    <row r="37" spans="2:10">
      <c r="B37" s="74" t="str">
        <f>'6.Cons Profit &amp; Loss'!A13</f>
        <v>Faclitiy 2 - Processing Unit- Rice Mill</v>
      </c>
      <c r="C37" s="64">
        <f>+'6.Cons Profit &amp; Loss'!B56</f>
        <v>25.560632046064043</v>
      </c>
      <c r="D37" s="64">
        <f>+'6.Cons Profit &amp; Loss'!C56</f>
        <v>26.827383256714192</v>
      </c>
      <c r="E37" s="64">
        <f>+'6.Cons Profit &amp; Loss'!D56</f>
        <v>28.270154719288101</v>
      </c>
      <c r="F37" s="64">
        <f>+'6.Cons Profit &amp; Loss'!E56</f>
        <v>29.879884098298614</v>
      </c>
      <c r="G37" s="64">
        <f>+'6.Cons Profit &amp; Loss'!F56</f>
        <v>31.366868757104264</v>
      </c>
      <c r="H37" s="64">
        <f>+'6.Cons Profit &amp; Loss'!G56</f>
        <v>36.033973764068463</v>
      </c>
      <c r="I37" s="64">
        <f>+'6.Cons Profit &amp; Loss'!H56</f>
        <v>40.674201147144842</v>
      </c>
    </row>
    <row r="38" spans="2:10">
      <c r="B38" s="74"/>
      <c r="C38" s="74"/>
      <c r="D38" s="74"/>
      <c r="E38" s="74"/>
      <c r="F38" s="74"/>
      <c r="G38" s="74"/>
      <c r="H38" s="74"/>
      <c r="I38" s="74"/>
    </row>
    <row r="39" spans="2:10">
      <c r="B39" s="63" t="s">
        <v>26</v>
      </c>
      <c r="C39" s="64">
        <f>SUM(C32:C38)</f>
        <v>25.560632046064043</v>
      </c>
      <c r="D39" s="64">
        <f t="shared" ref="D39:I39" si="4">SUM(D32:D38)</f>
        <v>26.827383256714192</v>
      </c>
      <c r="E39" s="64">
        <f t="shared" si="4"/>
        <v>28.270154719288101</v>
      </c>
      <c r="F39" s="64">
        <f t="shared" si="4"/>
        <v>29.879884098298614</v>
      </c>
      <c r="G39" s="64">
        <f t="shared" si="4"/>
        <v>31.366868757104264</v>
      </c>
      <c r="H39" s="64">
        <f t="shared" si="4"/>
        <v>36.033973764068463</v>
      </c>
      <c r="I39" s="64">
        <f t="shared" si="4"/>
        <v>40.674201147144842</v>
      </c>
    </row>
    <row r="40" spans="2:10">
      <c r="B40" s="63"/>
      <c r="C40" s="64"/>
      <c r="D40" s="64"/>
      <c r="E40" s="64"/>
      <c r="F40" s="64"/>
      <c r="G40" s="64"/>
      <c r="H40" s="64"/>
      <c r="I40" s="64"/>
    </row>
    <row r="41" spans="2:10">
      <c r="B41" s="65" t="s">
        <v>38</v>
      </c>
      <c r="C41" s="79">
        <f>+'6.Cons Profit &amp; Loss'!B40+'6.Cons Profit &amp; Loss'!B46+'6.Cons Profit &amp; Loss'!B47+'6.Cons Profit &amp; Loss'!B52+'6.Cons Profit &amp; Loss'!B51</f>
        <v>21.982778364535179</v>
      </c>
      <c r="D41" s="79">
        <f>+'6.Cons Profit &amp; Loss'!C40+'6.Cons Profit &amp; Loss'!C46+'6.Cons Profit &amp; Loss'!C47+'6.Cons Profit &amp; Loss'!C52+'6.Cons Profit &amp; Loss'!C51</f>
        <v>23.031272459602341</v>
      </c>
      <c r="E41" s="79">
        <f>+'6.Cons Profit &amp; Loss'!D40+'6.Cons Profit &amp; Loss'!D46+'6.Cons Profit &amp; Loss'!D47+'6.Cons Profit &amp; Loss'!D52+'6.Cons Profit &amp; Loss'!D51</f>
        <v>24.059755147768268</v>
      </c>
      <c r="F41" s="79">
        <f>+'6.Cons Profit &amp; Loss'!E40+'6.Cons Profit &amp; Loss'!E46+'6.Cons Profit &amp; Loss'!E47+'6.Cons Profit &amp; Loss'!E52+'6.Cons Profit &amp; Loss'!E51</f>
        <v>25.2001777862416</v>
      </c>
      <c r="G41" s="79">
        <f>+'6.Cons Profit &amp; Loss'!F40+'6.Cons Profit &amp; Loss'!F46+'6.Cons Profit &amp; Loss'!F47+'6.Cons Profit &amp; Loss'!F52+'6.Cons Profit &amp; Loss'!F51</f>
        <v>26.92044193598856</v>
      </c>
      <c r="H41" s="79">
        <f>+'6.Cons Profit &amp; Loss'!G40+'6.Cons Profit &amp; Loss'!G46+'6.Cons Profit &amp; Loss'!G47+'6.Cons Profit &amp; Loss'!G52+'6.Cons Profit &amp; Loss'!G51</f>
        <v>29.411403261621619</v>
      </c>
      <c r="I41" s="79">
        <f>+'6.Cons Profit &amp; Loss'!H40+'6.Cons Profit &amp; Loss'!H46+'6.Cons Profit &amp; Loss'!H47+'6.Cons Profit &amp; Loss'!H52+'6.Cons Profit &amp; Loss'!H51</f>
        <v>32.318044554321354</v>
      </c>
    </row>
    <row r="42" spans="2:10">
      <c r="B42" s="65" t="s">
        <v>36</v>
      </c>
      <c r="C42" s="79">
        <f>+C39+C41</f>
        <v>47.543410410599222</v>
      </c>
      <c r="D42" s="79">
        <f t="shared" ref="D42:I42" si="5">+D39+D41</f>
        <v>49.858655716316534</v>
      </c>
      <c r="E42" s="79">
        <f t="shared" si="5"/>
        <v>52.329909867056372</v>
      </c>
      <c r="F42" s="79">
        <f t="shared" si="5"/>
        <v>55.080061884540214</v>
      </c>
      <c r="G42" s="79">
        <f t="shared" si="5"/>
        <v>58.28731069309282</v>
      </c>
      <c r="H42" s="79">
        <f t="shared" si="5"/>
        <v>65.445377025690078</v>
      </c>
      <c r="I42" s="79">
        <f t="shared" si="5"/>
        <v>72.992245701466203</v>
      </c>
    </row>
    <row r="43" spans="2:10">
      <c r="B43" s="63"/>
      <c r="C43" s="63"/>
      <c r="D43" s="63"/>
      <c r="E43" s="63"/>
      <c r="F43" s="63"/>
      <c r="G43" s="63"/>
      <c r="H43" s="63"/>
      <c r="I43" s="63"/>
    </row>
    <row r="44" spans="2:10">
      <c r="B44" s="63" t="s">
        <v>37</v>
      </c>
      <c r="C44" s="78">
        <f t="shared" ref="C44:I44" si="6">C41/C42</f>
        <v>0.46237276995245563</v>
      </c>
      <c r="D44" s="78">
        <f t="shared" si="6"/>
        <v>0.46193127609866996</v>
      </c>
      <c r="E44" s="78">
        <f t="shared" si="6"/>
        <v>0.45977062083408593</v>
      </c>
      <c r="F44" s="78">
        <f t="shared" si="6"/>
        <v>0.45751905361084472</v>
      </c>
      <c r="G44" s="78">
        <f t="shared" si="6"/>
        <v>0.46185767735512789</v>
      </c>
      <c r="H44" s="78">
        <f t="shared" si="6"/>
        <v>0.44940383260495848</v>
      </c>
      <c r="I44" s="78">
        <f t="shared" si="6"/>
        <v>0.4427599705111166</v>
      </c>
    </row>
    <row r="45" spans="2:10">
      <c r="B45" s="62"/>
      <c r="C45" s="62"/>
      <c r="D45" s="62"/>
      <c r="E45" s="62"/>
      <c r="F45" s="62"/>
      <c r="G45" s="62"/>
      <c r="H45" s="62"/>
      <c r="I45" s="62"/>
    </row>
    <row r="46" spans="2:10">
      <c r="B46" s="80" t="s">
        <v>129</v>
      </c>
      <c r="C46" s="533">
        <f>AVERAGE(C44:I44)</f>
        <v>0.45651645728103701</v>
      </c>
      <c r="D46" s="62"/>
      <c r="E46" s="62"/>
      <c r="F46" s="62"/>
      <c r="G46" s="62"/>
      <c r="H46" s="62"/>
      <c r="I46" s="62"/>
    </row>
    <row r="48" spans="2:10" ht="41.45" customHeight="1">
      <c r="B48" s="670" t="s">
        <v>410</v>
      </c>
      <c r="C48" s="670"/>
      <c r="D48" s="670"/>
      <c r="E48" s="670"/>
      <c r="F48" s="670"/>
      <c r="G48" s="670"/>
      <c r="H48" s="670"/>
      <c r="I48" s="670"/>
      <c r="J48" s="512"/>
    </row>
    <row r="51" spans="2:9" ht="18.75">
      <c r="B51" s="602" t="s">
        <v>528</v>
      </c>
      <c r="C51" s="602"/>
      <c r="D51" s="602"/>
      <c r="E51" s="602"/>
      <c r="F51" s="602"/>
      <c r="G51" s="602"/>
      <c r="H51" s="602"/>
      <c r="I51" s="602"/>
    </row>
    <row r="53" spans="2:9">
      <c r="B53" s="55" t="s">
        <v>28</v>
      </c>
      <c r="C53" s="56" t="s">
        <v>2</v>
      </c>
      <c r="D53" s="56" t="s">
        <v>3</v>
      </c>
      <c r="E53" s="56" t="s">
        <v>4</v>
      </c>
      <c r="F53" s="56" t="s">
        <v>5</v>
      </c>
      <c r="G53" s="56" t="s">
        <v>6</v>
      </c>
      <c r="H53" s="56" t="s">
        <v>164</v>
      </c>
      <c r="I53" s="56" t="s">
        <v>163</v>
      </c>
    </row>
    <row r="54" spans="2:9">
      <c r="B54" s="63"/>
      <c r="C54" s="63"/>
      <c r="D54" s="63"/>
      <c r="E54" s="63"/>
      <c r="F54" s="63"/>
      <c r="G54" s="63"/>
      <c r="H54" s="63"/>
      <c r="I54" s="63"/>
    </row>
    <row r="55" spans="2:9">
      <c r="B55" s="63" t="s">
        <v>364</v>
      </c>
      <c r="C55" s="435">
        <f>'6.Cons Profit &amp; Loss'!B56</f>
        <v>25.560632046064043</v>
      </c>
      <c r="D55" s="435">
        <f>'6.Cons Profit &amp; Loss'!C56</f>
        <v>26.827383256714192</v>
      </c>
      <c r="E55" s="435">
        <f>'6.Cons Profit &amp; Loss'!D56</f>
        <v>28.270154719288101</v>
      </c>
      <c r="F55" s="435">
        <f>'6.Cons Profit &amp; Loss'!E56</f>
        <v>29.879884098298614</v>
      </c>
      <c r="G55" s="435">
        <f>'6.Cons Profit &amp; Loss'!F56</f>
        <v>31.366868757104264</v>
      </c>
      <c r="H55" s="435">
        <f>'6.Cons Profit &amp; Loss'!G56</f>
        <v>36.033973764068463</v>
      </c>
      <c r="I55" s="435">
        <f>'6.Cons Profit &amp; Loss'!H56</f>
        <v>40.674201147144842</v>
      </c>
    </row>
    <row r="56" spans="2:9">
      <c r="B56" s="63"/>
      <c r="C56" s="435"/>
      <c r="D56" s="435"/>
      <c r="E56" s="435"/>
      <c r="F56" s="435"/>
      <c r="G56" s="435"/>
      <c r="H56" s="435"/>
      <c r="I56" s="435"/>
    </row>
    <row r="57" spans="2:9">
      <c r="B57" s="63" t="s">
        <v>39</v>
      </c>
      <c r="C57" s="435">
        <f>'6.Cons Profit &amp; Loss'!B46</f>
        <v>6.8592830929999993</v>
      </c>
      <c r="D57" s="435">
        <f>'6.Cons Profit &amp; Loss'!C46</f>
        <v>6.8592830929999993</v>
      </c>
      <c r="E57" s="435">
        <f>'6.Cons Profit &amp; Loss'!D46</f>
        <v>6.8592830929999993</v>
      </c>
      <c r="F57" s="435">
        <f>'6.Cons Profit &amp; Loss'!E46</f>
        <v>6.8592830929999993</v>
      </c>
      <c r="G57" s="435">
        <f>'6.Cons Profit &amp; Loss'!F46</f>
        <v>6.8592830929999993</v>
      </c>
      <c r="H57" s="435">
        <f>'6.Cons Profit &amp; Loss'!G46</f>
        <v>6.8592830929999993</v>
      </c>
      <c r="I57" s="435">
        <f>'6.Cons Profit &amp; Loss'!H46</f>
        <v>6.8592830929999993</v>
      </c>
    </row>
    <row r="58" spans="2:9">
      <c r="B58" s="73" t="s">
        <v>45</v>
      </c>
      <c r="C58" s="435">
        <f>'6.Cons Profit &amp; Loss'!B47</f>
        <v>1.0765006428571426</v>
      </c>
      <c r="D58" s="435">
        <f>'6.Cons Profit &amp; Loss'!C47</f>
        <v>1.0765006428571426</v>
      </c>
      <c r="E58" s="435">
        <f>'6.Cons Profit &amp; Loss'!D47</f>
        <v>1.0765006428571426</v>
      </c>
      <c r="F58" s="435">
        <f>'6.Cons Profit &amp; Loss'!E47</f>
        <v>1.0765006428571426</v>
      </c>
      <c r="G58" s="435">
        <f>'6.Cons Profit &amp; Loss'!F47</f>
        <v>1.0765006428571426</v>
      </c>
      <c r="H58" s="435">
        <f>'6.Cons Profit &amp; Loss'!G47</f>
        <v>1.0765006428571426</v>
      </c>
      <c r="I58" s="435">
        <f>'6.Cons Profit &amp; Loss'!H47</f>
        <v>1.0765006428571426</v>
      </c>
    </row>
    <row r="59" spans="2:9">
      <c r="B59" s="63"/>
      <c r="C59" s="435"/>
      <c r="D59" s="435"/>
      <c r="E59" s="435"/>
      <c r="F59" s="435"/>
      <c r="G59" s="435"/>
      <c r="H59" s="435"/>
      <c r="I59" s="435"/>
    </row>
    <row r="60" spans="2:9">
      <c r="B60" s="63" t="s">
        <v>31</v>
      </c>
      <c r="C60" s="435">
        <f>SUM(C55:C58)</f>
        <v>33.496415781921186</v>
      </c>
      <c r="D60" s="435">
        <f t="shared" ref="D60:I60" si="7">SUM(D55:D58)</f>
        <v>34.763166992571335</v>
      </c>
      <c r="E60" s="435">
        <f t="shared" si="7"/>
        <v>36.205938455145244</v>
      </c>
      <c r="F60" s="435">
        <f t="shared" si="7"/>
        <v>37.815667834155754</v>
      </c>
      <c r="G60" s="435">
        <f t="shared" si="7"/>
        <v>39.302652492961407</v>
      </c>
      <c r="H60" s="435">
        <f t="shared" si="7"/>
        <v>43.969757499925606</v>
      </c>
      <c r="I60" s="435">
        <f t="shared" si="7"/>
        <v>48.609984883001985</v>
      </c>
    </row>
    <row r="61" spans="2:9">
      <c r="B61" s="63"/>
      <c r="C61" s="435"/>
      <c r="D61" s="435"/>
      <c r="E61" s="435"/>
      <c r="F61" s="435"/>
      <c r="G61" s="435"/>
      <c r="H61" s="435"/>
      <c r="I61" s="435"/>
    </row>
    <row r="62" spans="2:9" ht="16.5">
      <c r="B62" s="10" t="s">
        <v>40</v>
      </c>
      <c r="C62" s="435">
        <f>1/1.1</f>
        <v>0.90909090909090906</v>
      </c>
      <c r="D62" s="435">
        <f t="shared" ref="D62:I62" si="8">C62/1.1</f>
        <v>0.82644628099173545</v>
      </c>
      <c r="E62" s="435">
        <f t="shared" si="8"/>
        <v>0.75131480090157765</v>
      </c>
      <c r="F62" s="435">
        <f t="shared" si="8"/>
        <v>0.68301345536507052</v>
      </c>
      <c r="G62" s="435">
        <f t="shared" si="8"/>
        <v>0.62092132305915493</v>
      </c>
      <c r="H62" s="435">
        <f t="shared" si="8"/>
        <v>0.56447393005377711</v>
      </c>
      <c r="I62" s="435">
        <f t="shared" si="8"/>
        <v>0.51315811823070645</v>
      </c>
    </row>
    <row r="63" spans="2:9">
      <c r="B63" s="63"/>
      <c r="C63" s="435"/>
      <c r="D63" s="435"/>
      <c r="E63" s="435"/>
      <c r="F63" s="435"/>
      <c r="G63" s="435"/>
      <c r="H63" s="435"/>
      <c r="I63" s="435"/>
    </row>
    <row r="64" spans="2:9" ht="16.5">
      <c r="B64" s="10" t="s">
        <v>41</v>
      </c>
      <c r="C64" s="436">
        <f>C60*C62</f>
        <v>30.451287074473804</v>
      </c>
      <c r="D64" s="436">
        <f t="shared" ref="D64:I64" si="9">D60*D62</f>
        <v>28.729890076505232</v>
      </c>
      <c r="E64" s="436">
        <f t="shared" si="9"/>
        <v>27.202057441882221</v>
      </c>
      <c r="F64" s="436">
        <f t="shared" si="9"/>
        <v>25.828609954344476</v>
      </c>
      <c r="G64" s="436">
        <f t="shared" si="9"/>
        <v>24.403854985663791</v>
      </c>
      <c r="H64" s="436">
        <f t="shared" si="9"/>
        <v>24.819781819494548</v>
      </c>
      <c r="I64" s="436">
        <f t="shared" si="9"/>
        <v>24.944608369784387</v>
      </c>
    </row>
    <row r="65" spans="2:10">
      <c r="B65" s="62"/>
      <c r="C65" s="76"/>
      <c r="D65" s="76"/>
      <c r="E65" s="76"/>
      <c r="F65" s="76"/>
      <c r="G65" s="76"/>
      <c r="H65" s="76"/>
      <c r="I65" s="76"/>
    </row>
    <row r="66" spans="2:10" ht="16.5">
      <c r="B66" s="11" t="s">
        <v>42</v>
      </c>
      <c r="C66" s="76">
        <f>SUM(C64:I64)</f>
        <v>186.38008972214845</v>
      </c>
      <c r="D66" s="76"/>
      <c r="E66" s="76"/>
      <c r="F66" s="76"/>
      <c r="G66" s="76"/>
      <c r="H66" s="76"/>
      <c r="I66" s="76"/>
    </row>
    <row r="67" spans="2:10">
      <c r="B67" s="62"/>
      <c r="C67" s="76"/>
      <c r="D67" s="76"/>
      <c r="E67" s="76"/>
      <c r="F67" s="76"/>
      <c r="G67" s="76"/>
      <c r="H67" s="76"/>
      <c r="I67" s="76"/>
    </row>
    <row r="68" spans="2:10" ht="16.5">
      <c r="B68" s="11" t="s">
        <v>43</v>
      </c>
      <c r="C68" s="76">
        <f>'1.Project Cost and MOF'!D12</f>
        <v>159.61999530520831</v>
      </c>
      <c r="D68" s="76"/>
      <c r="E68" s="76"/>
      <c r="F68" s="76"/>
      <c r="G68" s="76"/>
      <c r="H68" s="76"/>
      <c r="I68" s="76"/>
    </row>
    <row r="69" spans="2:10">
      <c r="B69" s="62"/>
      <c r="C69" s="75"/>
      <c r="D69" s="62"/>
      <c r="E69" s="62"/>
      <c r="F69" s="62"/>
      <c r="G69" s="62"/>
      <c r="H69" s="62"/>
      <c r="I69" s="62"/>
    </row>
    <row r="70" spans="2:10" ht="16.5">
      <c r="B70" s="11" t="s">
        <v>44</v>
      </c>
      <c r="C70" s="75">
        <f>C66-C68</f>
        <v>26.760094416940149</v>
      </c>
      <c r="D70" s="62"/>
      <c r="E70" s="62"/>
      <c r="F70" s="62"/>
      <c r="G70" s="62"/>
      <c r="H70" s="62"/>
      <c r="I70" s="62"/>
    </row>
    <row r="72" spans="2:10" ht="35.1" customHeight="1">
      <c r="B72" s="611" t="s">
        <v>411</v>
      </c>
      <c r="C72" s="611"/>
      <c r="D72" s="611"/>
      <c r="E72" s="611"/>
      <c r="F72" s="611"/>
      <c r="G72" s="611"/>
      <c r="H72" s="611"/>
      <c r="I72" s="611"/>
      <c r="J72" s="507"/>
    </row>
    <row r="73" spans="2:10" ht="18.75">
      <c r="B73" s="602" t="s">
        <v>529</v>
      </c>
      <c r="C73" s="602"/>
      <c r="D73" s="602"/>
      <c r="E73" s="602"/>
      <c r="F73" s="602"/>
      <c r="G73" s="602"/>
      <c r="H73" s="602"/>
      <c r="I73" s="602"/>
    </row>
    <row r="74" spans="2:10">
      <c r="B74" s="62"/>
      <c r="C74" s="62"/>
      <c r="D74" s="62"/>
      <c r="E74" s="62"/>
      <c r="F74" s="62"/>
      <c r="G74" s="62"/>
      <c r="H74" s="62"/>
      <c r="I74" s="62"/>
    </row>
    <row r="75" spans="2:10" ht="15.75">
      <c r="B75" s="47" t="s">
        <v>0</v>
      </c>
      <c r="C75" s="47" t="s">
        <v>2</v>
      </c>
      <c r="D75" s="47" t="s">
        <v>3</v>
      </c>
      <c r="E75" s="47" t="s">
        <v>4</v>
      </c>
      <c r="F75" s="47" t="s">
        <v>5</v>
      </c>
      <c r="G75" s="47" t="s">
        <v>6</v>
      </c>
      <c r="H75" s="47" t="s">
        <v>164</v>
      </c>
      <c r="I75" s="47" t="s">
        <v>163</v>
      </c>
    </row>
    <row r="76" spans="2:10" ht="15.75">
      <c r="B76" s="45"/>
      <c r="C76" s="46"/>
      <c r="D76" s="46"/>
      <c r="E76" s="46"/>
      <c r="F76" s="46"/>
      <c r="G76" s="46"/>
      <c r="H76" s="46"/>
      <c r="I76" s="46"/>
    </row>
    <row r="77" spans="2:10">
      <c r="B77" s="65" t="s">
        <v>26</v>
      </c>
      <c r="C77" s="64">
        <f>'6.Cons Profit &amp; Loss'!B56</f>
        <v>25.560632046064043</v>
      </c>
      <c r="D77" s="64">
        <f>'6.Cons Profit &amp; Loss'!C56</f>
        <v>26.827383256714192</v>
      </c>
      <c r="E77" s="64">
        <f>'6.Cons Profit &amp; Loss'!D56</f>
        <v>28.270154719288101</v>
      </c>
      <c r="F77" s="64">
        <f>'6.Cons Profit &amp; Loss'!E56</f>
        <v>29.879884098298614</v>
      </c>
      <c r="G77" s="64">
        <f>'6.Cons Profit &amp; Loss'!F56</f>
        <v>31.366868757104264</v>
      </c>
      <c r="H77" s="64">
        <f>'6.Cons Profit &amp; Loss'!G56</f>
        <v>36.033973764068463</v>
      </c>
      <c r="I77" s="64">
        <f>'6.Cons Profit &amp; Loss'!H56</f>
        <v>40.674201147144842</v>
      </c>
    </row>
    <row r="78" spans="2:10">
      <c r="B78" s="63"/>
      <c r="C78" s="63"/>
      <c r="D78" s="63"/>
      <c r="E78" s="63"/>
      <c r="F78" s="63"/>
      <c r="G78" s="63"/>
      <c r="H78" s="63"/>
      <c r="I78" s="63"/>
    </row>
    <row r="79" spans="2:10">
      <c r="B79" s="65" t="s">
        <v>121</v>
      </c>
      <c r="C79" s="668">
        <f>AVERAGE(C77:I77)</f>
        <v>31.230442541240361</v>
      </c>
      <c r="D79" s="668"/>
      <c r="E79" s="668"/>
      <c r="F79" s="668"/>
      <c r="G79" s="668"/>
      <c r="H79" s="668"/>
      <c r="I79" s="668"/>
    </row>
    <row r="80" spans="2:10">
      <c r="B80" s="65" t="s">
        <v>122</v>
      </c>
      <c r="C80" s="668">
        <f>'1.Project Cost and MOF'!D12</f>
        <v>159.61999530520831</v>
      </c>
      <c r="D80" s="668"/>
      <c r="E80" s="668"/>
      <c r="F80" s="668"/>
      <c r="G80" s="668"/>
      <c r="H80" s="668"/>
      <c r="I80" s="668"/>
    </row>
    <row r="81" spans="2:10">
      <c r="B81" s="63"/>
      <c r="C81" s="63"/>
      <c r="D81" s="63"/>
      <c r="E81" s="63"/>
      <c r="F81" s="63"/>
      <c r="G81" s="63"/>
      <c r="H81" s="63"/>
      <c r="I81" s="63"/>
    </row>
    <row r="82" spans="2:10">
      <c r="B82" s="198" t="s">
        <v>123</v>
      </c>
      <c r="C82" s="669">
        <f>C79/C80</f>
        <v>0.19565495213506831</v>
      </c>
      <c r="D82" s="669"/>
      <c r="E82" s="669"/>
      <c r="F82" s="669"/>
      <c r="G82" s="669"/>
      <c r="H82" s="669"/>
      <c r="I82" s="669"/>
    </row>
    <row r="85" spans="2:10">
      <c r="B85" s="667" t="s">
        <v>412</v>
      </c>
      <c r="C85" s="667"/>
      <c r="D85" s="667"/>
      <c r="E85" s="667"/>
      <c r="F85" s="667"/>
      <c r="G85" s="667"/>
      <c r="H85" s="667"/>
      <c r="I85" s="667"/>
    </row>
    <row r="87" spans="2:10" ht="18.75">
      <c r="B87" s="602" t="s">
        <v>530</v>
      </c>
      <c r="C87" s="602"/>
      <c r="D87" s="602"/>
      <c r="E87" s="602"/>
      <c r="F87" s="602"/>
      <c r="G87" s="602"/>
      <c r="H87" s="602"/>
      <c r="I87" s="602"/>
      <c r="J87" s="602"/>
    </row>
    <row r="89" spans="2:10">
      <c r="B89" s="70" t="s">
        <v>0</v>
      </c>
      <c r="C89" s="70" t="s">
        <v>324</v>
      </c>
      <c r="D89" s="70" t="s">
        <v>2</v>
      </c>
      <c r="E89" s="70" t="s">
        <v>3</v>
      </c>
      <c r="F89" s="70" t="s">
        <v>4</v>
      </c>
      <c r="G89" s="70" t="s">
        <v>5</v>
      </c>
      <c r="H89" s="70" t="s">
        <v>6</v>
      </c>
      <c r="I89" s="70" t="s">
        <v>164</v>
      </c>
      <c r="J89" s="70" t="s">
        <v>163</v>
      </c>
    </row>
    <row r="90" spans="2:10">
      <c r="B90" s="71"/>
      <c r="C90" s="71"/>
      <c r="D90" s="72"/>
      <c r="E90" s="72"/>
      <c r="F90" s="72"/>
      <c r="G90" s="72"/>
      <c r="H90" s="72"/>
      <c r="I90" s="72"/>
      <c r="J90" s="72"/>
    </row>
    <row r="91" spans="2:10">
      <c r="B91" s="9" t="s">
        <v>273</v>
      </c>
      <c r="C91" s="437">
        <f>'1.Project Cost and MOF'!D12</f>
        <v>159.61999530520831</v>
      </c>
      <c r="D91" s="438"/>
      <c r="E91" s="438"/>
      <c r="F91" s="438"/>
      <c r="G91" s="438"/>
      <c r="H91" s="438"/>
      <c r="I91" s="438"/>
      <c r="J91" s="438"/>
    </row>
    <row r="92" spans="2:10">
      <c r="B92" s="9" t="str">
        <f>B55</f>
        <v>Profit after Tax &amp; Dividend</v>
      </c>
      <c r="C92" s="364"/>
      <c r="D92" s="439">
        <f>'6.Cons Profit &amp; Loss'!B56</f>
        <v>25.560632046064043</v>
      </c>
      <c r="E92" s="439">
        <f>'6.Cons Profit &amp; Loss'!C56</f>
        <v>26.827383256714192</v>
      </c>
      <c r="F92" s="439">
        <f>'6.Cons Profit &amp; Loss'!D56</f>
        <v>28.270154719288101</v>
      </c>
      <c r="G92" s="439">
        <f>'6.Cons Profit &amp; Loss'!E56</f>
        <v>29.879884098298614</v>
      </c>
      <c r="H92" s="439">
        <f>'6.Cons Profit &amp; Loss'!F56</f>
        <v>31.366868757104264</v>
      </c>
      <c r="I92" s="439">
        <f>'6.Cons Profit &amp; Loss'!G56</f>
        <v>36.033973764068463</v>
      </c>
      <c r="J92" s="439">
        <f>'6.Cons Profit &amp; Loss'!H56</f>
        <v>40.674201147144842</v>
      </c>
    </row>
    <row r="93" spans="2:10">
      <c r="B93" s="9" t="str">
        <f>B57</f>
        <v>Add: Deprication</v>
      </c>
      <c r="C93" s="364"/>
      <c r="D93" s="440">
        <f>'6.Cons Profit &amp; Loss'!B46</f>
        <v>6.8592830929999993</v>
      </c>
      <c r="E93" s="440">
        <f>'6.Cons Profit &amp; Loss'!C46</f>
        <v>6.8592830929999993</v>
      </c>
      <c r="F93" s="440">
        <f>'6.Cons Profit &amp; Loss'!D46</f>
        <v>6.8592830929999993</v>
      </c>
      <c r="G93" s="440">
        <f>'6.Cons Profit &amp; Loss'!E46</f>
        <v>6.8592830929999993</v>
      </c>
      <c r="H93" s="440">
        <f>'6.Cons Profit &amp; Loss'!F46</f>
        <v>6.8592830929999993</v>
      </c>
      <c r="I93" s="440">
        <f>'6.Cons Profit &amp; Loss'!G46</f>
        <v>6.8592830929999993</v>
      </c>
      <c r="J93" s="440">
        <f>'6.Cons Profit &amp; Loss'!H46</f>
        <v>6.8592830929999993</v>
      </c>
    </row>
    <row r="94" spans="2:10">
      <c r="B94" s="9" t="str">
        <f>B58</f>
        <v>Add. Preliminary exp Written off</v>
      </c>
      <c r="C94" s="364"/>
      <c r="D94" s="440">
        <f>'6.Cons Profit &amp; Loss'!B47</f>
        <v>1.0765006428571426</v>
      </c>
      <c r="E94" s="440">
        <f>'6.Cons Profit &amp; Loss'!C47</f>
        <v>1.0765006428571426</v>
      </c>
      <c r="F94" s="440">
        <f>'6.Cons Profit &amp; Loss'!D47</f>
        <v>1.0765006428571426</v>
      </c>
      <c r="G94" s="440">
        <f>'6.Cons Profit &amp; Loss'!E47</f>
        <v>1.0765006428571426</v>
      </c>
      <c r="H94" s="440">
        <f>'6.Cons Profit &amp; Loss'!F47</f>
        <v>1.0765006428571426</v>
      </c>
      <c r="I94" s="440">
        <f>'6.Cons Profit &amp; Loss'!G47</f>
        <v>1.0765006428571426</v>
      </c>
      <c r="J94" s="440">
        <f>'6.Cons Profit &amp; Loss'!H47</f>
        <v>1.0765006428571426</v>
      </c>
    </row>
    <row r="95" spans="2:10">
      <c r="B95" s="9" t="str">
        <f>B60</f>
        <v xml:space="preserve">Net Cash Accrual (A)      </v>
      </c>
      <c r="C95" s="364"/>
      <c r="D95" s="364">
        <f>SUM(D92:D94)</f>
        <v>33.496415781921186</v>
      </c>
      <c r="E95" s="364">
        <f t="shared" ref="E95:J95" si="10">SUM(E92:E94)</f>
        <v>34.763166992571335</v>
      </c>
      <c r="F95" s="364">
        <f t="shared" si="10"/>
        <v>36.205938455145244</v>
      </c>
      <c r="G95" s="364">
        <f t="shared" si="10"/>
        <v>37.815667834155754</v>
      </c>
      <c r="H95" s="364">
        <f t="shared" si="10"/>
        <v>39.302652492961407</v>
      </c>
      <c r="I95" s="364">
        <f t="shared" si="10"/>
        <v>43.969757499925606</v>
      </c>
      <c r="J95" s="364">
        <f t="shared" si="10"/>
        <v>48.609984883001985</v>
      </c>
    </row>
    <row r="96" spans="2:10">
      <c r="B96" s="9" t="s">
        <v>274</v>
      </c>
      <c r="C96" s="441"/>
      <c r="D96" s="442">
        <f>D95-C91</f>
        <v>-126.12357952328712</v>
      </c>
      <c r="E96" s="442">
        <f>D96+E95</f>
        <v>-91.360412530715791</v>
      </c>
      <c r="F96" s="442">
        <f>E96+F95</f>
        <v>-55.154474075570548</v>
      </c>
      <c r="G96" s="442">
        <f>F96+G95</f>
        <v>-17.338806241414794</v>
      </c>
      <c r="H96" s="442">
        <f>G96+H95</f>
        <v>21.963846251546613</v>
      </c>
      <c r="I96" s="443"/>
      <c r="J96" s="443"/>
    </row>
    <row r="98" spans="2:10">
      <c r="B98" s="5" t="s">
        <v>275</v>
      </c>
      <c r="D98" s="41">
        <f>4+(-G96/H95)</f>
        <v>4.4411612230121094</v>
      </c>
    </row>
    <row r="100" spans="2:10">
      <c r="B100" s="667" t="s">
        <v>413</v>
      </c>
      <c r="C100" s="667"/>
      <c r="D100" s="667"/>
      <c r="E100" s="667"/>
      <c r="F100" s="667"/>
      <c r="G100" s="667"/>
      <c r="H100" s="667"/>
      <c r="I100" s="667"/>
      <c r="J100" s="667"/>
    </row>
    <row r="102" spans="2:10" ht="18.75">
      <c r="B102" s="602" t="s">
        <v>531</v>
      </c>
      <c r="C102" s="602"/>
      <c r="D102" s="602"/>
      <c r="E102" s="602"/>
      <c r="F102" s="602"/>
      <c r="G102" s="602"/>
      <c r="H102" s="602"/>
      <c r="I102" s="602"/>
    </row>
    <row r="104" spans="2:10" ht="15.75">
      <c r="B104" s="47" t="s">
        <v>0</v>
      </c>
      <c r="C104" s="47" t="s">
        <v>2</v>
      </c>
      <c r="D104" s="47" t="s">
        <v>3</v>
      </c>
      <c r="E104" s="47" t="s">
        <v>4</v>
      </c>
      <c r="F104" s="47" t="s">
        <v>5</v>
      </c>
      <c r="G104" s="47" t="s">
        <v>6</v>
      </c>
      <c r="H104" s="47" t="s">
        <v>164</v>
      </c>
      <c r="I104" s="47" t="s">
        <v>163</v>
      </c>
    </row>
    <row r="105" spans="2:10" ht="15.75">
      <c r="B105" s="45"/>
      <c r="C105" s="46"/>
      <c r="D105" s="46"/>
      <c r="E105" s="46"/>
      <c r="F105" s="46"/>
      <c r="G105" s="46"/>
      <c r="H105" s="46"/>
      <c r="I105" s="46"/>
    </row>
    <row r="106" spans="2:10">
      <c r="B106" s="63" t="s">
        <v>327</v>
      </c>
      <c r="C106" s="64">
        <f>+'6.Cons Profit &amp; Loss'!B58</f>
        <v>12.269103382110741</v>
      </c>
      <c r="D106" s="64">
        <f>+'6.Cons Profit &amp; Loss'!C58</f>
        <v>12.877143963222812</v>
      </c>
      <c r="E106" s="64">
        <f>+'6.Cons Profit &amp; Loss'!D58</f>
        <v>13.569674265258287</v>
      </c>
      <c r="F106" s="64">
        <f>+'6.Cons Profit &amp; Loss'!E58</f>
        <v>14.342344367183335</v>
      </c>
      <c r="G106" s="64">
        <f>+'6.Cons Profit &amp; Loss'!F58</f>
        <v>15.056097003410045</v>
      </c>
      <c r="H106" s="64">
        <f>+'6.Cons Profit &amp; Loss'!G58</f>
        <v>17.296307406752863</v>
      </c>
      <c r="I106" s="64">
        <f>+'6.Cons Profit &amp; Loss'!H58</f>
        <v>19.523616550629523</v>
      </c>
    </row>
    <row r="107" spans="2:10">
      <c r="B107" s="63" t="s">
        <v>337</v>
      </c>
      <c r="C107" s="64">
        <f>'6.Cons Profit &amp; Loss'!B46</f>
        <v>6.8592830929999993</v>
      </c>
      <c r="D107" s="64">
        <f>'6.Cons Profit &amp; Loss'!C46</f>
        <v>6.8592830929999993</v>
      </c>
      <c r="E107" s="64">
        <f>'6.Cons Profit &amp; Loss'!D46</f>
        <v>6.8592830929999993</v>
      </c>
      <c r="F107" s="64">
        <f>'6.Cons Profit &amp; Loss'!E46</f>
        <v>6.8592830929999993</v>
      </c>
      <c r="G107" s="64">
        <f>'6.Cons Profit &amp; Loss'!F46</f>
        <v>6.8592830929999993</v>
      </c>
      <c r="H107" s="64">
        <f>'6.Cons Profit &amp; Loss'!G46</f>
        <v>6.8592830929999993</v>
      </c>
      <c r="I107" s="64">
        <f>'6.Cons Profit &amp; Loss'!H46</f>
        <v>6.8592830929999993</v>
      </c>
    </row>
    <row r="108" spans="2:10">
      <c r="B108" s="63" t="s">
        <v>338</v>
      </c>
      <c r="C108" s="64">
        <f>'6.Cons Profit &amp; Loss'!B47</f>
        <v>1.0765006428571426</v>
      </c>
      <c r="D108" s="64">
        <f>'6.Cons Profit &amp; Loss'!C47</f>
        <v>1.0765006428571426</v>
      </c>
      <c r="E108" s="64">
        <f>'6.Cons Profit &amp; Loss'!D47</f>
        <v>1.0765006428571426</v>
      </c>
      <c r="F108" s="64">
        <f>'6.Cons Profit &amp; Loss'!E47</f>
        <v>1.0765006428571426</v>
      </c>
      <c r="G108" s="64">
        <f>'6.Cons Profit &amp; Loss'!F47</f>
        <v>1.0765006428571426</v>
      </c>
      <c r="H108" s="64">
        <f>'6.Cons Profit &amp; Loss'!G47</f>
        <v>1.0765006428571426</v>
      </c>
      <c r="I108" s="64">
        <f>'6.Cons Profit &amp; Loss'!H47</f>
        <v>1.0765006428571426</v>
      </c>
    </row>
    <row r="109" spans="2:10">
      <c r="B109" s="63" t="s">
        <v>339</v>
      </c>
      <c r="C109" s="64">
        <f>'8.Cash Flow '!C28</f>
        <v>2.7752550612717903</v>
      </c>
      <c r="D109" s="64">
        <f>'8.Cash Flow '!D28</f>
        <v>2.1523237642186404</v>
      </c>
      <c r="E109" s="64">
        <f>'8.Cash Flow '!E28</f>
        <v>1.3622136318301119</v>
      </c>
      <c r="F109" s="64">
        <f>'8.Cash Flow '!F28</f>
        <v>0.49798571910380662</v>
      </c>
      <c r="G109" s="64">
        <f>'8.Cash Flow '!G28</f>
        <v>2.3980817331903381E-14</v>
      </c>
      <c r="H109" s="64">
        <f>'8.Cash Flow '!H28</f>
        <v>2.3980817331903381E-14</v>
      </c>
      <c r="I109" s="64">
        <f>'8.Cash Flow '!I28</f>
        <v>2.3980817331903381E-14</v>
      </c>
    </row>
    <row r="110" spans="2:10">
      <c r="B110" s="65" t="s">
        <v>1</v>
      </c>
      <c r="C110" s="66">
        <f>SUM(C106:C109)</f>
        <v>22.980142179239671</v>
      </c>
      <c r="D110" s="66">
        <f t="shared" ref="D110:I110" si="11">SUM(D106:D109)</f>
        <v>22.965251463298593</v>
      </c>
      <c r="E110" s="66">
        <f t="shared" si="11"/>
        <v>22.867671632945541</v>
      </c>
      <c r="F110" s="66">
        <f t="shared" si="11"/>
        <v>22.776113822144282</v>
      </c>
      <c r="G110" s="66">
        <f t="shared" si="11"/>
        <v>22.991880739267209</v>
      </c>
      <c r="H110" s="66">
        <f t="shared" si="11"/>
        <v>25.232091142610027</v>
      </c>
      <c r="I110" s="66">
        <f t="shared" si="11"/>
        <v>27.459400286486687</v>
      </c>
    </row>
    <row r="111" spans="2:10">
      <c r="B111" s="63"/>
      <c r="C111" s="63"/>
      <c r="D111" s="63"/>
      <c r="E111" s="63"/>
      <c r="F111" s="63"/>
      <c r="G111" s="63"/>
      <c r="H111" s="63"/>
      <c r="I111" s="63"/>
    </row>
    <row r="112" spans="2:10">
      <c r="B112" s="63" t="s">
        <v>276</v>
      </c>
      <c r="C112" s="67">
        <f>'8.Cash Flow '!C27+'8.Cash Flow '!C28</f>
        <v>6.7117370256320488</v>
      </c>
      <c r="D112" s="67">
        <f>'8.Cash Flow '!D27+'8.Cash Flow '!D28</f>
        <v>10.575053350264099</v>
      </c>
      <c r="E112" s="67">
        <f>'8.Cash Flow '!E27+'8.Cash Flow '!E28</f>
        <v>10.575053350264099</v>
      </c>
      <c r="F112" s="67">
        <f>'8.Cash Flow '!F27+'8.Cash Flow '!F28</f>
        <v>10.575053350264099</v>
      </c>
      <c r="G112" s="67">
        <f>'8.Cash Flow '!G27+'8.Cash Flow '!G28</f>
        <v>4.7961634663806763E-14</v>
      </c>
      <c r="H112" s="67">
        <f>'8.Cash Flow '!H27+'8.Cash Flow '!H28</f>
        <v>4.7961634663806763E-14</v>
      </c>
      <c r="I112" s="67">
        <f>'8.Cash Flow '!I27+'8.Cash Flow '!I28</f>
        <v>4.7961634663806763E-14</v>
      </c>
    </row>
    <row r="113" spans="2:18">
      <c r="B113" s="63"/>
      <c r="C113" s="63"/>
      <c r="D113" s="63"/>
      <c r="E113" s="63"/>
      <c r="F113" s="63"/>
      <c r="G113" s="63"/>
      <c r="H113" s="63"/>
      <c r="I113" s="63"/>
    </row>
    <row r="114" spans="2:18">
      <c r="B114" s="65" t="s">
        <v>325</v>
      </c>
      <c r="C114" s="68">
        <f>C110/C112</f>
        <v>3.4238740420667204</v>
      </c>
      <c r="D114" s="68">
        <f t="shared" ref="D114:F114" si="12">D110/D112</f>
        <v>2.1716440288904133</v>
      </c>
      <c r="E114" s="68">
        <f t="shared" si="12"/>
        <v>2.1624166683163306</v>
      </c>
      <c r="F114" s="68">
        <f t="shared" si="12"/>
        <v>2.1537587629830233</v>
      </c>
      <c r="G114" s="68">
        <v>0</v>
      </c>
      <c r="H114" s="68">
        <v>0</v>
      </c>
      <c r="I114" s="68">
        <v>0</v>
      </c>
    </row>
    <row r="115" spans="2:18">
      <c r="B115" s="62"/>
      <c r="C115" s="62"/>
      <c r="D115" s="62"/>
      <c r="E115" s="62"/>
      <c r="F115" s="62"/>
      <c r="G115" s="62"/>
      <c r="H115" s="62"/>
      <c r="I115" s="62"/>
    </row>
    <row r="116" spans="2:18">
      <c r="B116" s="62" t="s">
        <v>326</v>
      </c>
      <c r="C116" s="534">
        <f>AVERAGE(C114:F114)</f>
        <v>2.4779233755641217</v>
      </c>
      <c r="D116" s="62"/>
      <c r="E116" s="62"/>
      <c r="F116" s="62"/>
      <c r="G116" s="62"/>
      <c r="H116" s="62"/>
      <c r="I116" s="62"/>
    </row>
    <row r="118" spans="2:18" ht="29.45" customHeight="1">
      <c r="B118" s="611" t="s">
        <v>414</v>
      </c>
      <c r="C118" s="611"/>
      <c r="D118" s="611"/>
      <c r="E118" s="611"/>
      <c r="F118" s="611"/>
      <c r="G118" s="611"/>
      <c r="H118" s="611"/>
      <c r="I118" s="611"/>
      <c r="J118" s="611"/>
    </row>
    <row r="120" spans="2:18" ht="21">
      <c r="B120" s="662" t="s">
        <v>532</v>
      </c>
      <c r="C120" s="663"/>
      <c r="D120" s="663"/>
      <c r="E120" s="663"/>
      <c r="F120" s="663"/>
      <c r="G120" s="663"/>
      <c r="H120" s="663"/>
      <c r="I120" s="663"/>
      <c r="K120" s="664"/>
      <c r="L120" s="664"/>
      <c r="M120" s="664"/>
      <c r="N120" s="664"/>
      <c r="O120" s="664"/>
      <c r="P120" s="664"/>
      <c r="Q120" s="664"/>
      <c r="R120" s="664"/>
    </row>
    <row r="121" spans="2:18">
      <c r="B121" s="55" t="s">
        <v>340</v>
      </c>
      <c r="C121" s="56" t="s">
        <v>2</v>
      </c>
      <c r="D121" s="56" t="s">
        <v>3</v>
      </c>
      <c r="E121" s="56" t="s">
        <v>4</v>
      </c>
      <c r="F121" s="56" t="s">
        <v>5</v>
      </c>
      <c r="G121" s="56" t="s">
        <v>6</v>
      </c>
      <c r="H121" s="56" t="s">
        <v>164</v>
      </c>
      <c r="I121" s="56" t="s">
        <v>163</v>
      </c>
    </row>
    <row r="122" spans="2:18">
      <c r="B122" s="48" t="str">
        <f>'6.Cons Profit &amp; Loss'!A8</f>
        <v>Faclitiy 1 - Cleaning &amp; Grading</v>
      </c>
      <c r="C122" s="243">
        <f>'6.Cons Profit &amp; Loss'!B8*(1+$M$123)</f>
        <v>0</v>
      </c>
      <c r="D122" s="243">
        <f>'6.Cons Profit &amp; Loss'!C8*(1+$M$123)</f>
        <v>0</v>
      </c>
      <c r="E122" s="243">
        <f>'6.Cons Profit &amp; Loss'!D8*(1+$M$123)</f>
        <v>0</v>
      </c>
      <c r="F122" s="243">
        <f>'6.Cons Profit &amp; Loss'!E8*(1+$M$123)</f>
        <v>0</v>
      </c>
      <c r="G122" s="243">
        <f>'6.Cons Profit &amp; Loss'!F8*(1+$M$123)</f>
        <v>0</v>
      </c>
      <c r="H122" s="243">
        <f>'6.Cons Profit &amp; Loss'!G8*(1+$M$123)</f>
        <v>0</v>
      </c>
      <c r="I122" s="243">
        <f>'6.Cons Profit &amp; Loss'!H8*(1+$M$123)</f>
        <v>0</v>
      </c>
    </row>
    <row r="123" spans="2:18">
      <c r="B123" s="48" t="str">
        <f>'6.Cons Profit &amp; Loss'!A9</f>
        <v>Facility 6 - Processing Unit - Horti Commodity</v>
      </c>
      <c r="C123" s="243">
        <f>'6.Cons Profit &amp; Loss'!B9*(1+$M$123)</f>
        <v>0</v>
      </c>
      <c r="D123" s="243">
        <f>'6.Cons Profit &amp; Loss'!C9*(1+$M$123)</f>
        <v>0</v>
      </c>
      <c r="E123" s="243">
        <f>'6.Cons Profit &amp; Loss'!D9*(1+$M$123)</f>
        <v>0</v>
      </c>
      <c r="F123" s="243">
        <f>'6.Cons Profit &amp; Loss'!E9*(1+$M$123)</f>
        <v>0</v>
      </c>
      <c r="G123" s="243">
        <f>'6.Cons Profit &amp; Loss'!F9*(1+$M$123)</f>
        <v>0</v>
      </c>
      <c r="H123" s="243">
        <f>'6.Cons Profit &amp; Loss'!G9*(1+$M$123)</f>
        <v>0</v>
      </c>
      <c r="I123" s="243">
        <f>'6.Cons Profit &amp; Loss'!H9*(1+$M$123)</f>
        <v>0</v>
      </c>
      <c r="L123" s="5" t="s">
        <v>359</v>
      </c>
      <c r="M123" s="204">
        <v>0.05</v>
      </c>
    </row>
    <row r="124" spans="2:18">
      <c r="B124" s="48" t="str">
        <f>'6.Cons Profit &amp; Loss'!A10</f>
        <v>Faclitiy 3 - Warehouse</v>
      </c>
      <c r="C124" s="243">
        <f>'6.Cons Profit &amp; Loss'!B10*(1+$M$123)</f>
        <v>0</v>
      </c>
      <c r="D124" s="243">
        <f>'6.Cons Profit &amp; Loss'!C10*(1+$M$123)</f>
        <v>0</v>
      </c>
      <c r="E124" s="243">
        <f>'6.Cons Profit &amp; Loss'!D10*(1+$M$123)</f>
        <v>0</v>
      </c>
      <c r="F124" s="243">
        <f>'6.Cons Profit &amp; Loss'!E10*(1+$M$123)</f>
        <v>0</v>
      </c>
      <c r="G124" s="243">
        <f>'6.Cons Profit &amp; Loss'!F10*(1+$M$123)</f>
        <v>0</v>
      </c>
      <c r="H124" s="243">
        <f>'6.Cons Profit &amp; Loss'!G10*(1+$M$123)</f>
        <v>0</v>
      </c>
      <c r="I124" s="243">
        <f>'6.Cons Profit &amp; Loss'!H10*(1+$M$123)</f>
        <v>0</v>
      </c>
      <c r="L124" s="5" t="s">
        <v>360</v>
      </c>
      <c r="M124" s="204">
        <v>0.05</v>
      </c>
    </row>
    <row r="125" spans="2:18">
      <c r="B125" s="48" t="str">
        <f>'6.Cons Profit &amp; Loss'!A11</f>
        <v xml:space="preserve">Faclitiy 4 - Custom Hiring </v>
      </c>
      <c r="C125" s="243">
        <f>'6.Cons Profit &amp; Loss'!B11*(1+$M$123)</f>
        <v>0</v>
      </c>
      <c r="D125" s="243">
        <f>'6.Cons Profit &amp; Loss'!C11*(1+$M$123)</f>
        <v>0</v>
      </c>
      <c r="E125" s="243">
        <f>'6.Cons Profit &amp; Loss'!D11*(1+$M$123)</f>
        <v>0</v>
      </c>
      <c r="F125" s="243">
        <f>'6.Cons Profit &amp; Loss'!E11*(1+$M$123)</f>
        <v>0</v>
      </c>
      <c r="G125" s="243">
        <f>'6.Cons Profit &amp; Loss'!F11*(1+$M$123)</f>
        <v>0</v>
      </c>
      <c r="H125" s="243">
        <f>'6.Cons Profit &amp; Loss'!G11*(1+$M$123)</f>
        <v>0</v>
      </c>
      <c r="I125" s="243">
        <f>'6.Cons Profit &amp; Loss'!H11*(1+$M$123)</f>
        <v>0</v>
      </c>
    </row>
    <row r="126" spans="2:18">
      <c r="B126" s="48" t="str">
        <f>'6.Cons Profit &amp; Loss'!A12</f>
        <v>Faclitiy 5 - Agri Input Centre</v>
      </c>
      <c r="C126" s="243">
        <f>'6.Cons Profit &amp; Loss'!B12*(1+$M$123)</f>
        <v>0</v>
      </c>
      <c r="D126" s="243">
        <f>'6.Cons Profit &amp; Loss'!C12*(1+$M$123)</f>
        <v>0</v>
      </c>
      <c r="E126" s="243">
        <f>'6.Cons Profit &amp; Loss'!D12*(1+$M$123)</f>
        <v>0</v>
      </c>
      <c r="F126" s="243">
        <f>'6.Cons Profit &amp; Loss'!E12*(1+$M$123)</f>
        <v>0</v>
      </c>
      <c r="G126" s="243">
        <f>'6.Cons Profit &amp; Loss'!F12*(1+$M$123)</f>
        <v>0</v>
      </c>
      <c r="H126" s="243">
        <f>'6.Cons Profit &amp; Loss'!G12*(1+$M$123)</f>
        <v>0</v>
      </c>
      <c r="I126" s="243">
        <f>'6.Cons Profit &amp; Loss'!H12*(1+$M$123)</f>
        <v>0</v>
      </c>
    </row>
    <row r="127" spans="2:18">
      <c r="B127" s="48" t="str">
        <f>'6.Cons Profit &amp; Loss'!A13</f>
        <v>Faclitiy 2 - Processing Unit- Rice Mill</v>
      </c>
      <c r="C127" s="243">
        <f>+SUM('6.Cons Profit &amp; Loss'!B13:B15)*(1+$M$123)</f>
        <v>387.57652500000006</v>
      </c>
      <c r="D127" s="243">
        <f>+SUM('6.Cons Profit &amp; Loss'!C13:C15)*(1+$M$123)</f>
        <v>406.95535125000004</v>
      </c>
      <c r="E127" s="243">
        <f>+SUM('6.Cons Profit &amp; Loss'!D13:D15)*(1+$M$123)</f>
        <v>427.35589662500001</v>
      </c>
      <c r="F127" s="243">
        <f>+SUM('6.Cons Profit &amp; Loss'!E13:E15)*(1+$M$123)</f>
        <v>448.74234230000002</v>
      </c>
      <c r="G127" s="243">
        <f>+SUM('6.Cons Profit &amp; Loss'!F13:F15)*(1+$M$123)</f>
        <v>471.18191466499997</v>
      </c>
      <c r="H127" s="243">
        <f>+SUM('6.Cons Profit &amp; Loss'!G13:G15)*(1+$M$123)</f>
        <v>529.95657704500002</v>
      </c>
      <c r="I127" s="243">
        <f>+SUM('6.Cons Profit &amp; Loss'!H13:H15)*(1+$M$123)</f>
        <v>593.58363874040003</v>
      </c>
    </row>
    <row r="128" spans="2:18">
      <c r="B128" s="48" t="s">
        <v>816</v>
      </c>
      <c r="C128" s="243">
        <f>+'6.Cons Profit &amp; Loss'!B18-'6.Cons Profit &amp; Loss'!B17</f>
        <v>15.3475</v>
      </c>
      <c r="D128" s="243">
        <f>+'6.Cons Profit &amp; Loss'!C18-'6.Cons Profit &amp; Loss'!C17</f>
        <v>16.882249999999996</v>
      </c>
      <c r="E128" s="243">
        <f>+'6.Cons Profit &amp; Loss'!D18-'6.Cons Profit &amp; Loss'!D17</f>
        <v>18.538662500000001</v>
      </c>
      <c r="F128" s="243">
        <f>+'6.Cons Profit &amp; Loss'!E18-'6.Cons Profit &amp; Loss'!E17</f>
        <v>20.310454166666673</v>
      </c>
      <c r="G128" s="243">
        <f>+'6.Cons Profit &amp; Loss'!F18-'6.Cons Profit &amp; Loss'!F17</f>
        <v>22.212654166666667</v>
      </c>
      <c r="H128" s="243">
        <f>+'6.Cons Profit &amp; Loss'!G18-'6.Cons Profit &amp; Loss'!G17</f>
        <v>25.653599999999997</v>
      </c>
      <c r="I128" s="243">
        <f>+'6.Cons Profit &amp; Loss'!H18-'6.Cons Profit &amp; Loss'!H17</f>
        <v>29.460237500000005</v>
      </c>
    </row>
    <row r="129" spans="2:9">
      <c r="B129" s="48" t="s">
        <v>341</v>
      </c>
      <c r="C129" s="243">
        <f t="shared" ref="C129:I129" si="13">SUM(C122:C128)</f>
        <v>402.92402500000009</v>
      </c>
      <c r="D129" s="243">
        <f t="shared" si="13"/>
        <v>423.83760125000003</v>
      </c>
      <c r="E129" s="243">
        <f t="shared" si="13"/>
        <v>445.894559125</v>
      </c>
      <c r="F129" s="243">
        <f t="shared" si="13"/>
        <v>469.05279646666668</v>
      </c>
      <c r="G129" s="243">
        <f t="shared" si="13"/>
        <v>493.39456883166662</v>
      </c>
      <c r="H129" s="243">
        <f t="shared" si="13"/>
        <v>555.610177045</v>
      </c>
      <c r="I129" s="243">
        <f t="shared" si="13"/>
        <v>623.0438762404001</v>
      </c>
    </row>
    <row r="130" spans="2:9">
      <c r="B130" s="48" t="s">
        <v>342</v>
      </c>
      <c r="C130" s="243"/>
      <c r="D130" s="243"/>
      <c r="E130" s="243"/>
      <c r="F130" s="243"/>
      <c r="G130" s="243"/>
      <c r="H130" s="243"/>
      <c r="I130" s="243"/>
    </row>
    <row r="131" spans="2:9">
      <c r="B131" s="48" t="s">
        <v>343</v>
      </c>
      <c r="C131" s="243">
        <f>'6.Cons Profit &amp; Loss'!B40</f>
        <v>10.900651349999999</v>
      </c>
      <c r="D131" s="243">
        <f>'6.Cons Profit &amp; Loss'!C40</f>
        <v>11.444183917500002</v>
      </c>
      <c r="E131" s="243">
        <f>'6.Cons Profit &amp; Loss'!D40</f>
        <v>12.045101613375</v>
      </c>
      <c r="F131" s="243">
        <f>'6.Cons Profit &amp; Loss'!E40</f>
        <v>12.714131680106252</v>
      </c>
      <c r="G131" s="243">
        <f>'6.Cons Profit &amp; Loss'!F40</f>
        <v>13.469881487969978</v>
      </c>
      <c r="H131" s="243">
        <f>'6.Cons Profit &amp; Loss'!G40</f>
        <v>14.343862236438166</v>
      </c>
      <c r="I131" s="243">
        <f>'6.Cons Profit &amp; Loss'!H40</f>
        <v>15.390047573366877</v>
      </c>
    </row>
    <row r="132" spans="2:9">
      <c r="B132" s="48" t="s">
        <v>302</v>
      </c>
      <c r="C132" s="243">
        <f>'6.Cons Profit &amp; Loss'!B29*(1+M123)</f>
        <v>348.58567800000003</v>
      </c>
      <c r="D132" s="243">
        <f>'6.Cons Profit &amp; Loss'!C29*(1+N123)</f>
        <v>348.39796000000007</v>
      </c>
      <c r="E132" s="243">
        <f>'6.Cons Profit &amp; Loss'!D29*(1+O123)</f>
        <v>365.79436000000004</v>
      </c>
      <c r="F132" s="243">
        <f>'6.Cons Profit &amp; Loss'!E29*(1+P123)</f>
        <v>384.00076000000007</v>
      </c>
      <c r="G132" s="243">
        <f>'6.Cons Profit &amp; Loss'!F29*(1+Q123)</f>
        <v>403.00716000000006</v>
      </c>
      <c r="H132" s="243">
        <f>'6.Cons Profit &amp; Loss'!G29*(1+R123)</f>
        <v>453.15870000000001</v>
      </c>
      <c r="I132" s="243">
        <f>'6.Cons Profit &amp; Loss'!H29*(1+S123)</f>
        <v>507.97823999999991</v>
      </c>
    </row>
    <row r="133" spans="2:9">
      <c r="B133" s="48" t="s">
        <v>344</v>
      </c>
      <c r="C133" s="243">
        <f t="shared" ref="C133:I133" si="14">SUM(C131:C132)</f>
        <v>359.48632935000001</v>
      </c>
      <c r="D133" s="243">
        <f t="shared" si="14"/>
        <v>359.8421439175001</v>
      </c>
      <c r="E133" s="243">
        <f t="shared" si="14"/>
        <v>377.83946161337502</v>
      </c>
      <c r="F133" s="243">
        <f t="shared" si="14"/>
        <v>396.71489168010635</v>
      </c>
      <c r="G133" s="243">
        <f t="shared" si="14"/>
        <v>416.47704148797004</v>
      </c>
      <c r="H133" s="243">
        <f t="shared" si="14"/>
        <v>467.50256223643817</v>
      </c>
      <c r="I133" s="243">
        <f t="shared" si="14"/>
        <v>523.36828757336684</v>
      </c>
    </row>
    <row r="134" spans="2:9">
      <c r="B134" s="51" t="s">
        <v>345</v>
      </c>
      <c r="C134" s="244">
        <f t="shared" ref="C134:I134" si="15">+C129-C133</f>
        <v>43.43769565000008</v>
      </c>
      <c r="D134" s="244">
        <f t="shared" si="15"/>
        <v>63.995457332499939</v>
      </c>
      <c r="E134" s="244">
        <f t="shared" si="15"/>
        <v>68.055097511624979</v>
      </c>
      <c r="F134" s="244">
        <f t="shared" si="15"/>
        <v>72.33790478656033</v>
      </c>
      <c r="G134" s="244">
        <f t="shared" si="15"/>
        <v>76.917527343696577</v>
      </c>
      <c r="H134" s="244">
        <f t="shared" si="15"/>
        <v>88.107614808561834</v>
      </c>
      <c r="I134" s="244">
        <f t="shared" si="15"/>
        <v>99.675588667033253</v>
      </c>
    </row>
    <row r="135" spans="2:9">
      <c r="B135" s="8"/>
      <c r="C135" s="53"/>
      <c r="D135" s="53"/>
      <c r="E135" s="53"/>
      <c r="F135" s="53"/>
      <c r="G135" s="53"/>
      <c r="H135" s="53"/>
      <c r="I135" s="53"/>
    </row>
    <row r="136" spans="2:9">
      <c r="B136" s="55" t="s">
        <v>346</v>
      </c>
      <c r="C136" s="56" t="s">
        <v>2</v>
      </c>
      <c r="D136" s="56" t="s">
        <v>3</v>
      </c>
      <c r="E136" s="56" t="s">
        <v>4</v>
      </c>
      <c r="F136" s="56" t="s">
        <v>5</v>
      </c>
      <c r="G136" s="56" t="s">
        <v>6</v>
      </c>
      <c r="H136" s="56" t="s">
        <v>164</v>
      </c>
      <c r="I136" s="56" t="s">
        <v>163</v>
      </c>
    </row>
    <row r="137" spans="2:9">
      <c r="B137" s="48" t="str">
        <f t="shared" ref="B137:B142" si="16">B122</f>
        <v>Faclitiy 1 - Cleaning &amp; Grading</v>
      </c>
      <c r="C137" s="50">
        <f>'6.Cons Profit &amp; Loss'!B8</f>
        <v>0</v>
      </c>
      <c r="D137" s="50">
        <f>'6.Cons Profit &amp; Loss'!C8</f>
        <v>0</v>
      </c>
      <c r="E137" s="50">
        <f>'6.Cons Profit &amp; Loss'!D8</f>
        <v>0</v>
      </c>
      <c r="F137" s="50">
        <f>'6.Cons Profit &amp; Loss'!E8</f>
        <v>0</v>
      </c>
      <c r="G137" s="50">
        <f>'6.Cons Profit &amp; Loss'!F8</f>
        <v>0</v>
      </c>
      <c r="H137" s="50">
        <f>'6.Cons Profit &amp; Loss'!G8</f>
        <v>0</v>
      </c>
      <c r="I137" s="50">
        <f>'6.Cons Profit &amp; Loss'!H8</f>
        <v>0</v>
      </c>
    </row>
    <row r="138" spans="2:9">
      <c r="B138" s="48" t="str">
        <f t="shared" si="16"/>
        <v>Facility 6 - Processing Unit - Horti Commodity</v>
      </c>
      <c r="C138" s="50">
        <f>'6.Cons Profit &amp; Loss'!B9</f>
        <v>0</v>
      </c>
      <c r="D138" s="50">
        <f>'6.Cons Profit &amp; Loss'!C9</f>
        <v>0</v>
      </c>
      <c r="E138" s="50">
        <f>'6.Cons Profit &amp; Loss'!D9</f>
        <v>0</v>
      </c>
      <c r="F138" s="50">
        <f>'6.Cons Profit &amp; Loss'!E9</f>
        <v>0</v>
      </c>
      <c r="G138" s="50">
        <f>'6.Cons Profit &amp; Loss'!F9</f>
        <v>0</v>
      </c>
      <c r="H138" s="50">
        <f>'6.Cons Profit &amp; Loss'!G9</f>
        <v>0</v>
      </c>
      <c r="I138" s="50">
        <f>'6.Cons Profit &amp; Loss'!H9</f>
        <v>0</v>
      </c>
    </row>
    <row r="139" spans="2:9">
      <c r="B139" s="48" t="str">
        <f t="shared" si="16"/>
        <v>Faclitiy 3 - Warehouse</v>
      </c>
      <c r="C139" s="50">
        <f>'6.Cons Profit &amp; Loss'!B10</f>
        <v>0</v>
      </c>
      <c r="D139" s="50">
        <f>'6.Cons Profit &amp; Loss'!C10</f>
        <v>0</v>
      </c>
      <c r="E139" s="50">
        <f>'6.Cons Profit &amp; Loss'!D10</f>
        <v>0</v>
      </c>
      <c r="F139" s="50">
        <f>'6.Cons Profit &amp; Loss'!E10</f>
        <v>0</v>
      </c>
      <c r="G139" s="50">
        <f>'6.Cons Profit &amp; Loss'!F10</f>
        <v>0</v>
      </c>
      <c r="H139" s="50">
        <f>'6.Cons Profit &amp; Loss'!G10</f>
        <v>0</v>
      </c>
      <c r="I139" s="50">
        <f>'6.Cons Profit &amp; Loss'!H10</f>
        <v>0</v>
      </c>
    </row>
    <row r="140" spans="2:9">
      <c r="B140" s="48" t="str">
        <f t="shared" si="16"/>
        <v xml:space="preserve">Faclitiy 4 - Custom Hiring </v>
      </c>
      <c r="C140" s="50">
        <f>'6.Cons Profit &amp; Loss'!B11</f>
        <v>0</v>
      </c>
      <c r="D140" s="50">
        <f>'6.Cons Profit &amp; Loss'!C11</f>
        <v>0</v>
      </c>
      <c r="E140" s="50">
        <f>'6.Cons Profit &amp; Loss'!D11</f>
        <v>0</v>
      </c>
      <c r="F140" s="50">
        <f>'6.Cons Profit &amp; Loss'!E11</f>
        <v>0</v>
      </c>
      <c r="G140" s="50">
        <f>'6.Cons Profit &amp; Loss'!F11</f>
        <v>0</v>
      </c>
      <c r="H140" s="50">
        <f>'6.Cons Profit &amp; Loss'!G11</f>
        <v>0</v>
      </c>
      <c r="I140" s="50">
        <f>'6.Cons Profit &amp; Loss'!H11</f>
        <v>0</v>
      </c>
    </row>
    <row r="141" spans="2:9">
      <c r="B141" s="48" t="str">
        <f t="shared" si="16"/>
        <v>Faclitiy 5 - Agri Input Centre</v>
      </c>
      <c r="C141" s="50">
        <f>'6.Cons Profit &amp; Loss'!B12</f>
        <v>0</v>
      </c>
      <c r="D141" s="50">
        <f>'6.Cons Profit &amp; Loss'!C12</f>
        <v>0</v>
      </c>
      <c r="E141" s="50">
        <f>'6.Cons Profit &amp; Loss'!D12</f>
        <v>0</v>
      </c>
      <c r="F141" s="50">
        <f>'6.Cons Profit &amp; Loss'!E12</f>
        <v>0</v>
      </c>
      <c r="G141" s="50">
        <f>'6.Cons Profit &amp; Loss'!F12</f>
        <v>0</v>
      </c>
      <c r="H141" s="50">
        <f>'6.Cons Profit &amp; Loss'!G12</f>
        <v>0</v>
      </c>
      <c r="I141" s="50">
        <f>'6.Cons Profit &amp; Loss'!H12</f>
        <v>0</v>
      </c>
    </row>
    <row r="142" spans="2:9">
      <c r="B142" s="48" t="str">
        <f t="shared" si="16"/>
        <v>Faclitiy 2 - Processing Unit- Rice Mill</v>
      </c>
      <c r="C142" s="50">
        <f>+SUM('6.Cons Profit &amp; Loss'!B13:B15)</f>
        <v>369.12050000000005</v>
      </c>
      <c r="D142" s="50">
        <f>+SUM('6.Cons Profit &amp; Loss'!C13:C15)</f>
        <v>387.576525</v>
      </c>
      <c r="E142" s="50">
        <f>+SUM('6.Cons Profit &amp; Loss'!D13:D15)</f>
        <v>407.00561583333331</v>
      </c>
      <c r="F142" s="50">
        <f>+SUM('6.Cons Profit &amp; Loss'!E13:E15)</f>
        <v>427.37365933333331</v>
      </c>
      <c r="G142" s="50">
        <f>+SUM('6.Cons Profit &amp; Loss'!F13:F15)</f>
        <v>448.7446806333333</v>
      </c>
      <c r="H142" s="50">
        <f>+SUM('6.Cons Profit &amp; Loss'!G13:G15)</f>
        <v>504.72054956666665</v>
      </c>
      <c r="I142" s="50">
        <f>+SUM('6.Cons Profit &amp; Loss'!H13:H15)</f>
        <v>565.31775118133339</v>
      </c>
    </row>
    <row r="143" spans="2:9">
      <c r="B143" s="48" t="str">
        <f t="shared" ref="B143" si="17">B128</f>
        <v>Changes In FG Closing Stock</v>
      </c>
      <c r="C143" s="243">
        <f>+'6.Cons Profit &amp; Loss'!B18-'6.Cons Profit &amp; Loss'!B17</f>
        <v>15.3475</v>
      </c>
      <c r="D143" s="243">
        <f>+'6.Cons Profit &amp; Loss'!C18-'6.Cons Profit &amp; Loss'!C17</f>
        <v>16.882249999999996</v>
      </c>
      <c r="E143" s="243">
        <f>+'6.Cons Profit &amp; Loss'!D18-'6.Cons Profit &amp; Loss'!D17</f>
        <v>18.538662500000001</v>
      </c>
      <c r="F143" s="243">
        <f>+'6.Cons Profit &amp; Loss'!E18-'6.Cons Profit &amp; Loss'!E17</f>
        <v>20.310454166666673</v>
      </c>
      <c r="G143" s="243">
        <f>+'6.Cons Profit &amp; Loss'!F18-'6.Cons Profit &amp; Loss'!F17</f>
        <v>22.212654166666667</v>
      </c>
      <c r="H143" s="243">
        <f>+'6.Cons Profit &amp; Loss'!G18-'6.Cons Profit &amp; Loss'!G17</f>
        <v>25.653599999999997</v>
      </c>
      <c r="I143" s="243">
        <f>+'6.Cons Profit &amp; Loss'!H18-'6.Cons Profit &amp; Loss'!H17</f>
        <v>29.460237500000005</v>
      </c>
    </row>
    <row r="144" spans="2:9">
      <c r="B144" s="48" t="s">
        <v>341</v>
      </c>
      <c r="C144" s="50">
        <f>SUM(C137:C143)</f>
        <v>384.46800000000007</v>
      </c>
      <c r="D144" s="50">
        <f t="shared" ref="D144:I144" si="18">SUM(D137:D143)</f>
        <v>404.458775</v>
      </c>
      <c r="E144" s="50">
        <f t="shared" si="18"/>
        <v>425.5442783333333</v>
      </c>
      <c r="F144" s="50">
        <f t="shared" si="18"/>
        <v>447.68411349999997</v>
      </c>
      <c r="G144" s="50">
        <f t="shared" si="18"/>
        <v>470.95733479999996</v>
      </c>
      <c r="H144" s="50">
        <f t="shared" si="18"/>
        <v>530.37414956666669</v>
      </c>
      <c r="I144" s="50">
        <f t="shared" si="18"/>
        <v>594.77798868133345</v>
      </c>
    </row>
    <row r="145" spans="2:15">
      <c r="B145" s="48" t="s">
        <v>342</v>
      </c>
      <c r="C145" s="54"/>
      <c r="D145" s="50"/>
      <c r="E145" s="50"/>
      <c r="F145" s="50"/>
      <c r="G145" s="50"/>
      <c r="H145" s="50"/>
      <c r="I145" s="50"/>
    </row>
    <row r="146" spans="2:15">
      <c r="B146" s="48" t="s">
        <v>343</v>
      </c>
      <c r="C146" s="49">
        <f>'6.Cons Profit &amp; Loss'!B40*(1+$M$124)</f>
        <v>11.445683917499998</v>
      </c>
      <c r="D146" s="49">
        <f>'6.Cons Profit &amp; Loss'!C40*(1+$M$124)</f>
        <v>12.016393113375003</v>
      </c>
      <c r="E146" s="49">
        <f>'6.Cons Profit &amp; Loss'!D40*(1+$M$124)</f>
        <v>12.647356694043751</v>
      </c>
      <c r="F146" s="49">
        <f>'6.Cons Profit &amp; Loss'!E40*(1+$M$124)</f>
        <v>13.349838264111565</v>
      </c>
      <c r="G146" s="49">
        <f>'6.Cons Profit &amp; Loss'!F40*(1+$M$124)</f>
        <v>14.143375562368478</v>
      </c>
      <c r="H146" s="49">
        <f>'6.Cons Profit &amp; Loss'!G40*(1+$M$124)</f>
        <v>15.061055348260075</v>
      </c>
      <c r="I146" s="49">
        <f>'6.Cons Profit &amp; Loss'!H40*(1+$M$124)</f>
        <v>16.159549952035221</v>
      </c>
    </row>
    <row r="147" spans="2:15">
      <c r="B147" s="48" t="s">
        <v>302</v>
      </c>
      <c r="C147" s="49">
        <f>'6.Cons Profit &amp; Loss'!B29*(1+$M$124)</f>
        <v>348.58567800000003</v>
      </c>
      <c r="D147" s="49">
        <f>'6.Cons Profit &amp; Loss'!C29*(1+$M$124)</f>
        <v>365.81785800000011</v>
      </c>
      <c r="E147" s="49">
        <f>'6.Cons Profit &amp; Loss'!D29*(1+$M$124)</f>
        <v>384.08407800000003</v>
      </c>
      <c r="F147" s="49">
        <f>'6.Cons Profit &amp; Loss'!E29*(1+$M$124)</f>
        <v>403.20079800000008</v>
      </c>
      <c r="G147" s="49">
        <f>'6.Cons Profit &amp; Loss'!F29*(1+$M$124)</f>
        <v>423.1575180000001</v>
      </c>
      <c r="H147" s="49">
        <f>'6.Cons Profit &amp; Loss'!G29*(1+$M$124)</f>
        <v>475.81663500000002</v>
      </c>
      <c r="I147" s="49">
        <f>'6.Cons Profit &amp; Loss'!H29*(1+$M$124)</f>
        <v>533.37715199999991</v>
      </c>
    </row>
    <row r="148" spans="2:15">
      <c r="B148" s="48" t="s">
        <v>344</v>
      </c>
      <c r="C148" s="49">
        <f t="shared" ref="C148:I148" si="19">SUM(C146:C147)</f>
        <v>360.03136191750002</v>
      </c>
      <c r="D148" s="49">
        <f t="shared" si="19"/>
        <v>377.8342511133751</v>
      </c>
      <c r="E148" s="49">
        <f t="shared" si="19"/>
        <v>396.7314346940438</v>
      </c>
      <c r="F148" s="49">
        <f t="shared" si="19"/>
        <v>416.55063626411163</v>
      </c>
      <c r="G148" s="49">
        <f t="shared" si="19"/>
        <v>437.30089356236857</v>
      </c>
      <c r="H148" s="49">
        <f t="shared" si="19"/>
        <v>490.8776903482601</v>
      </c>
      <c r="I148" s="49">
        <f t="shared" si="19"/>
        <v>549.53670195203517</v>
      </c>
    </row>
    <row r="149" spans="2:15">
      <c r="B149" s="51" t="s">
        <v>345</v>
      </c>
      <c r="C149" s="52">
        <f t="shared" ref="C149:I149" si="20">+C144-C148</f>
        <v>24.436638082500053</v>
      </c>
      <c r="D149" s="52">
        <f t="shared" si="20"/>
        <v>26.6245238866249</v>
      </c>
      <c r="E149" s="52">
        <f t="shared" si="20"/>
        <v>28.812843639289497</v>
      </c>
      <c r="F149" s="52">
        <f t="shared" si="20"/>
        <v>31.133477235888336</v>
      </c>
      <c r="G149" s="52">
        <f t="shared" si="20"/>
        <v>33.656441237631384</v>
      </c>
      <c r="H149" s="52">
        <f t="shared" si="20"/>
        <v>39.496459218406585</v>
      </c>
      <c r="I149" s="52">
        <f t="shared" si="20"/>
        <v>45.241286729298281</v>
      </c>
      <c r="N149" s="4"/>
      <c r="O149" s="6"/>
    </row>
    <row r="150" spans="2:15">
      <c r="B150" s="8"/>
      <c r="C150" s="53"/>
      <c r="D150" s="53"/>
      <c r="E150" s="53"/>
      <c r="F150" s="53"/>
      <c r="G150" s="53"/>
      <c r="H150" s="53"/>
      <c r="I150" s="53"/>
    </row>
    <row r="151" spans="2:15">
      <c r="B151" s="55" t="s">
        <v>347</v>
      </c>
      <c r="C151" s="56" t="s">
        <v>2</v>
      </c>
      <c r="D151" s="56" t="s">
        <v>3</v>
      </c>
      <c r="E151" s="56" t="s">
        <v>4</v>
      </c>
      <c r="F151" s="56" t="s">
        <v>5</v>
      </c>
      <c r="G151" s="56" t="s">
        <v>6</v>
      </c>
      <c r="H151" s="56" t="s">
        <v>164</v>
      </c>
      <c r="I151" s="56" t="s">
        <v>163</v>
      </c>
    </row>
    <row r="152" spans="2:15">
      <c r="B152" s="48" t="str">
        <f t="shared" ref="B152:B158" si="21">B137</f>
        <v>Faclitiy 1 - Cleaning &amp; Grading</v>
      </c>
      <c r="C152" s="243">
        <f>'6.Cons Profit &amp; Loss'!B8*(1-$M$123)</f>
        <v>0</v>
      </c>
      <c r="D152" s="243">
        <f>'6.Cons Profit &amp; Loss'!C8*(1-$M$123)</f>
        <v>0</v>
      </c>
      <c r="E152" s="243">
        <f>'6.Cons Profit &amp; Loss'!D8*(1-$M$123)</f>
        <v>0</v>
      </c>
      <c r="F152" s="243">
        <f>'6.Cons Profit &amp; Loss'!E8*(1-$M$123)</f>
        <v>0</v>
      </c>
      <c r="G152" s="243">
        <f>'6.Cons Profit &amp; Loss'!F8*(1-$M$123)</f>
        <v>0</v>
      </c>
      <c r="H152" s="243">
        <f>'6.Cons Profit &amp; Loss'!G8*(1-$M$123)</f>
        <v>0</v>
      </c>
      <c r="I152" s="243">
        <f>'6.Cons Profit &amp; Loss'!H8*(1-$M$123)</f>
        <v>0</v>
      </c>
    </row>
    <row r="153" spans="2:15">
      <c r="B153" s="48" t="str">
        <f t="shared" si="21"/>
        <v>Facility 6 - Processing Unit - Horti Commodity</v>
      </c>
      <c r="C153" s="444">
        <f>'6.Cons Profit &amp; Loss'!B9*(1-$M$123)</f>
        <v>0</v>
      </c>
      <c r="D153" s="444">
        <f>'6.Cons Profit &amp; Loss'!C9*(1-$M$123)</f>
        <v>0</v>
      </c>
      <c r="E153" s="444">
        <f>'6.Cons Profit &amp; Loss'!D9*(1-$M$123)</f>
        <v>0</v>
      </c>
      <c r="F153" s="444">
        <f>'6.Cons Profit &amp; Loss'!E9*(1-$M$123)</f>
        <v>0</v>
      </c>
      <c r="G153" s="444">
        <f>'6.Cons Profit &amp; Loss'!F9*(1-$M$123)</f>
        <v>0</v>
      </c>
      <c r="H153" s="444">
        <f>'6.Cons Profit &amp; Loss'!G9*(1-$M$123)</f>
        <v>0</v>
      </c>
      <c r="I153" s="444">
        <f>'6.Cons Profit &amp; Loss'!H9*(1-$M$123)</f>
        <v>0</v>
      </c>
    </row>
    <row r="154" spans="2:15">
      <c r="B154" s="48" t="str">
        <f t="shared" si="21"/>
        <v>Faclitiy 3 - Warehouse</v>
      </c>
      <c r="C154" s="444">
        <f>'6.Cons Profit &amp; Loss'!B10*(1-$M$123)</f>
        <v>0</v>
      </c>
      <c r="D154" s="444">
        <f>'6.Cons Profit &amp; Loss'!C10*(1-$M$123)</f>
        <v>0</v>
      </c>
      <c r="E154" s="444">
        <f>'6.Cons Profit &amp; Loss'!D10*(1-$M$123)</f>
        <v>0</v>
      </c>
      <c r="F154" s="444">
        <f>'6.Cons Profit &amp; Loss'!E10*(1-$M$123)</f>
        <v>0</v>
      </c>
      <c r="G154" s="444">
        <f>'6.Cons Profit &amp; Loss'!F10*(1-$M$123)</f>
        <v>0</v>
      </c>
      <c r="H154" s="444">
        <f>'6.Cons Profit &amp; Loss'!G10*(1-$M$123)</f>
        <v>0</v>
      </c>
      <c r="I154" s="444">
        <f>'6.Cons Profit &amp; Loss'!H10*(1-$M$123)</f>
        <v>0</v>
      </c>
    </row>
    <row r="155" spans="2:15">
      <c r="B155" s="48" t="str">
        <f t="shared" si="21"/>
        <v xml:space="preserve">Faclitiy 4 - Custom Hiring </v>
      </c>
      <c r="C155" s="444">
        <f>'6.Cons Profit &amp; Loss'!B11*(1-$M$123)</f>
        <v>0</v>
      </c>
      <c r="D155" s="444">
        <f>'6.Cons Profit &amp; Loss'!C11*(1-$M$123)</f>
        <v>0</v>
      </c>
      <c r="E155" s="444">
        <f>'6.Cons Profit &amp; Loss'!D11*(1-$M$123)</f>
        <v>0</v>
      </c>
      <c r="F155" s="444">
        <f>'6.Cons Profit &amp; Loss'!E11*(1-$M$123)</f>
        <v>0</v>
      </c>
      <c r="G155" s="444">
        <f>'6.Cons Profit &amp; Loss'!F11*(1-$M$123)</f>
        <v>0</v>
      </c>
      <c r="H155" s="444">
        <f>'6.Cons Profit &amp; Loss'!G11*(1-$M$123)</f>
        <v>0</v>
      </c>
      <c r="I155" s="444">
        <f>'6.Cons Profit &amp; Loss'!H11*(1-$M$123)</f>
        <v>0</v>
      </c>
    </row>
    <row r="156" spans="2:15">
      <c r="B156" s="48" t="str">
        <f t="shared" si="21"/>
        <v>Faclitiy 5 - Agri Input Centre</v>
      </c>
      <c r="C156" s="444">
        <f>'6.Cons Profit &amp; Loss'!B12*(1-$M$123)</f>
        <v>0</v>
      </c>
      <c r="D156" s="444">
        <f>'6.Cons Profit &amp; Loss'!C12*(1-$M$123)</f>
        <v>0</v>
      </c>
      <c r="E156" s="444">
        <f>'6.Cons Profit &amp; Loss'!D12*(1-$M$123)</f>
        <v>0</v>
      </c>
      <c r="F156" s="444">
        <f>'6.Cons Profit &amp; Loss'!E12*(1-$M$123)</f>
        <v>0</v>
      </c>
      <c r="G156" s="444">
        <f>'6.Cons Profit &amp; Loss'!F12*(1-$M$123)</f>
        <v>0</v>
      </c>
      <c r="H156" s="444">
        <f>'6.Cons Profit &amp; Loss'!G12*(1-$M$123)</f>
        <v>0</v>
      </c>
      <c r="I156" s="444">
        <f>'6.Cons Profit &amp; Loss'!H12*(1-$M$123)</f>
        <v>0</v>
      </c>
    </row>
    <row r="157" spans="2:15">
      <c r="B157" s="48" t="str">
        <f t="shared" si="21"/>
        <v>Faclitiy 2 - Processing Unit- Rice Mill</v>
      </c>
      <c r="C157" s="444">
        <f>+SUM('6.Cons Profit &amp; Loss'!B13:B15)*(1-$M$123)</f>
        <v>350.66447500000004</v>
      </c>
      <c r="D157" s="444">
        <f>'6.Cons Profit &amp; Loss'!C13*(1-$M$123)</f>
        <v>352.11001874999999</v>
      </c>
      <c r="E157" s="444">
        <f>'6.Cons Profit &amp; Loss'!D13*(1-$M$123)</f>
        <v>369.76327104166666</v>
      </c>
      <c r="F157" s="444">
        <f>'6.Cons Profit &amp; Loss'!E13*(1-$M$123)</f>
        <v>388.26830916666665</v>
      </c>
      <c r="G157" s="444">
        <f>'6.Cons Profit &amp; Loss'!F13*(1-$M$123)</f>
        <v>407.68394604166662</v>
      </c>
      <c r="H157" s="444">
        <f>'6.Cons Profit &amp; Loss'!G13*(1-$M$123)</f>
        <v>458.53308395833329</v>
      </c>
      <c r="I157" s="444">
        <f>'6.Cons Profit &amp; Loss'!H13*(1-$M$123)</f>
        <v>513.58625291666669</v>
      </c>
    </row>
    <row r="158" spans="2:15">
      <c r="B158" s="48" t="str">
        <f t="shared" si="21"/>
        <v>Changes In FG Closing Stock</v>
      </c>
      <c r="C158" s="444">
        <f>+'6.Cons Profit &amp; Loss'!B18-'6.Cons Profit &amp; Loss'!B17</f>
        <v>15.3475</v>
      </c>
      <c r="D158" s="444">
        <f>+'6.Cons Profit &amp; Loss'!C18-'6.Cons Profit &amp; Loss'!C17</f>
        <v>16.882249999999996</v>
      </c>
      <c r="E158" s="444">
        <f>+'6.Cons Profit &amp; Loss'!D18-'6.Cons Profit &amp; Loss'!D17</f>
        <v>18.538662500000001</v>
      </c>
      <c r="F158" s="444">
        <f>+'6.Cons Profit &amp; Loss'!E18-'6.Cons Profit &amp; Loss'!E17</f>
        <v>20.310454166666673</v>
      </c>
      <c r="G158" s="444">
        <f>+'6.Cons Profit &amp; Loss'!F18-'6.Cons Profit &amp; Loss'!F17</f>
        <v>22.212654166666667</v>
      </c>
      <c r="H158" s="444">
        <f>+'6.Cons Profit &amp; Loss'!G18-'6.Cons Profit &amp; Loss'!G17</f>
        <v>25.653599999999997</v>
      </c>
      <c r="I158" s="444">
        <f>+'6.Cons Profit &amp; Loss'!H18-'6.Cons Profit &amp; Loss'!H17</f>
        <v>29.460237500000005</v>
      </c>
    </row>
    <row r="159" spans="2:15">
      <c r="B159" s="48" t="s">
        <v>341</v>
      </c>
      <c r="C159" s="444">
        <f>SUM(C152:C158)</f>
        <v>366.01197500000006</v>
      </c>
      <c r="D159" s="444">
        <f t="shared" ref="D159:I159" si="22">SUM(D152:D158)</f>
        <v>368.99226874999999</v>
      </c>
      <c r="E159" s="444">
        <f t="shared" si="22"/>
        <v>388.30193354166664</v>
      </c>
      <c r="F159" s="444">
        <f t="shared" si="22"/>
        <v>408.57876333333331</v>
      </c>
      <c r="G159" s="444">
        <f t="shared" si="22"/>
        <v>429.89660020833327</v>
      </c>
      <c r="H159" s="444">
        <f t="shared" si="22"/>
        <v>484.18668395833328</v>
      </c>
      <c r="I159" s="444">
        <f t="shared" si="22"/>
        <v>543.04649041666676</v>
      </c>
    </row>
    <row r="160" spans="2:15">
      <c r="B160" s="48" t="s">
        <v>342</v>
      </c>
      <c r="C160" s="444"/>
      <c r="D160" s="444"/>
      <c r="E160" s="444"/>
      <c r="F160" s="444"/>
      <c r="G160" s="444"/>
      <c r="H160" s="444"/>
      <c r="I160" s="444"/>
    </row>
    <row r="161" spans="2:9">
      <c r="B161" s="48" t="s">
        <v>343</v>
      </c>
      <c r="C161" s="444">
        <f>'6.Cons Profit &amp; Loss'!B40</f>
        <v>10.900651349999999</v>
      </c>
      <c r="D161" s="444">
        <f>'6.Cons Profit &amp; Loss'!C40</f>
        <v>11.444183917500002</v>
      </c>
      <c r="E161" s="444">
        <f>'6.Cons Profit &amp; Loss'!D40</f>
        <v>12.045101613375</v>
      </c>
      <c r="F161" s="444">
        <f>'6.Cons Profit &amp; Loss'!E40</f>
        <v>12.714131680106252</v>
      </c>
      <c r="G161" s="444">
        <f>'6.Cons Profit &amp; Loss'!F40</f>
        <v>13.469881487969978</v>
      </c>
      <c r="H161" s="444">
        <f>'6.Cons Profit &amp; Loss'!G40</f>
        <v>14.343862236438166</v>
      </c>
      <c r="I161" s="444">
        <f>'6.Cons Profit &amp; Loss'!H40</f>
        <v>15.390047573366877</v>
      </c>
    </row>
    <row r="162" spans="2:9">
      <c r="B162" s="48" t="s">
        <v>302</v>
      </c>
      <c r="C162" s="444">
        <f>'6.Cons Profit &amp; Loss'!B29*(1-$M$123)</f>
        <v>315.38704199999995</v>
      </c>
      <c r="D162" s="444">
        <f>'6.Cons Profit &amp; Loss'!C29*(1-$M$123)</f>
        <v>330.97806200000002</v>
      </c>
      <c r="E162" s="444">
        <f>'6.Cons Profit &amp; Loss'!D29*(1-$M$123)</f>
        <v>347.50464200000005</v>
      </c>
      <c r="F162" s="444">
        <f>'6.Cons Profit &amp; Loss'!E29*(1-$M$123)</f>
        <v>364.80072200000006</v>
      </c>
      <c r="G162" s="444">
        <f>'6.Cons Profit &amp; Loss'!F29*(1-$M$123)</f>
        <v>382.85680200000002</v>
      </c>
      <c r="H162" s="444">
        <f>'6.Cons Profit &amp; Loss'!G29*(1-$M$123)</f>
        <v>430.500765</v>
      </c>
      <c r="I162" s="444">
        <f>'6.Cons Profit &amp; Loss'!H29*(1-$M$123)</f>
        <v>482.57932799999992</v>
      </c>
    </row>
    <row r="163" spans="2:9">
      <c r="B163" s="48" t="s">
        <v>344</v>
      </c>
      <c r="C163" s="444">
        <f t="shared" ref="C163:I163" si="23">SUM(C161:C162)</f>
        <v>326.28769334999993</v>
      </c>
      <c r="D163" s="444">
        <f t="shared" si="23"/>
        <v>342.42224591750005</v>
      </c>
      <c r="E163" s="444">
        <f t="shared" si="23"/>
        <v>359.54974361337503</v>
      </c>
      <c r="F163" s="444">
        <f t="shared" si="23"/>
        <v>377.51485368010634</v>
      </c>
      <c r="G163" s="444">
        <f t="shared" si="23"/>
        <v>396.32668348797</v>
      </c>
      <c r="H163" s="444">
        <f t="shared" si="23"/>
        <v>444.84462723643816</v>
      </c>
      <c r="I163" s="444">
        <f t="shared" si="23"/>
        <v>497.96937557336679</v>
      </c>
    </row>
    <row r="164" spans="2:9">
      <c r="B164" s="51" t="s">
        <v>345</v>
      </c>
      <c r="C164" s="445">
        <f t="shared" ref="C164:I164" si="24">+C159-C163</f>
        <v>39.724281650000137</v>
      </c>
      <c r="D164" s="445">
        <f t="shared" si="24"/>
        <v>26.570022832499944</v>
      </c>
      <c r="E164" s="445">
        <f t="shared" si="24"/>
        <v>28.752189928291614</v>
      </c>
      <c r="F164" s="445">
        <f t="shared" si="24"/>
        <v>31.063909653226972</v>
      </c>
      <c r="G164" s="445">
        <f t="shared" si="24"/>
        <v>33.569916720363267</v>
      </c>
      <c r="H164" s="445">
        <f t="shared" si="24"/>
        <v>39.342056721895119</v>
      </c>
      <c r="I164" s="445">
        <f t="shared" si="24"/>
        <v>45.077114843299967</v>
      </c>
    </row>
    <row r="165" spans="2:9">
      <c r="C165" s="446"/>
      <c r="D165" s="446"/>
      <c r="E165" s="446"/>
      <c r="F165" s="446"/>
      <c r="G165" s="446"/>
      <c r="H165" s="446"/>
      <c r="I165" s="446"/>
    </row>
    <row r="166" spans="2:9">
      <c r="B166" s="55" t="s">
        <v>348</v>
      </c>
      <c r="C166" s="447" t="s">
        <v>2</v>
      </c>
      <c r="D166" s="447" t="s">
        <v>3</v>
      </c>
      <c r="E166" s="447" t="s">
        <v>4</v>
      </c>
      <c r="F166" s="447" t="s">
        <v>5</v>
      </c>
      <c r="G166" s="447" t="s">
        <v>6</v>
      </c>
      <c r="H166" s="447" t="s">
        <v>164</v>
      </c>
      <c r="I166" s="447" t="s">
        <v>163</v>
      </c>
    </row>
    <row r="167" spans="2:9">
      <c r="B167" s="48" t="str">
        <f t="shared" ref="B167:B173" si="25">B152</f>
        <v>Faclitiy 1 - Cleaning &amp; Grading</v>
      </c>
      <c r="C167" s="448">
        <f>'6.Cons Profit &amp; Loss'!B8</f>
        <v>0</v>
      </c>
      <c r="D167" s="448">
        <f>'6.Cons Profit &amp; Loss'!C8</f>
        <v>0</v>
      </c>
      <c r="E167" s="448">
        <f>'6.Cons Profit &amp; Loss'!D8</f>
        <v>0</v>
      </c>
      <c r="F167" s="448">
        <f>'6.Cons Profit &amp; Loss'!E8</f>
        <v>0</v>
      </c>
      <c r="G167" s="448">
        <f>'6.Cons Profit &amp; Loss'!F8</f>
        <v>0</v>
      </c>
      <c r="H167" s="448">
        <f>'6.Cons Profit &amp; Loss'!G8</f>
        <v>0</v>
      </c>
      <c r="I167" s="448">
        <f>'6.Cons Profit &amp; Loss'!H8</f>
        <v>0</v>
      </c>
    </row>
    <row r="168" spans="2:9">
      <c r="B168" s="48" t="str">
        <f t="shared" si="25"/>
        <v>Facility 6 - Processing Unit - Horti Commodity</v>
      </c>
      <c r="C168" s="448">
        <f>'6.Cons Profit &amp; Loss'!B9</f>
        <v>0</v>
      </c>
      <c r="D168" s="448">
        <f>'6.Cons Profit &amp; Loss'!C9</f>
        <v>0</v>
      </c>
      <c r="E168" s="448">
        <f>'6.Cons Profit &amp; Loss'!D9</f>
        <v>0</v>
      </c>
      <c r="F168" s="448">
        <f>'6.Cons Profit &amp; Loss'!E9</f>
        <v>0</v>
      </c>
      <c r="G168" s="448">
        <f>'6.Cons Profit &amp; Loss'!F9</f>
        <v>0</v>
      </c>
      <c r="H168" s="448">
        <f>'6.Cons Profit &amp; Loss'!G9</f>
        <v>0</v>
      </c>
      <c r="I168" s="448">
        <f>'6.Cons Profit &amp; Loss'!H9</f>
        <v>0</v>
      </c>
    </row>
    <row r="169" spans="2:9">
      <c r="B169" s="48" t="str">
        <f t="shared" si="25"/>
        <v>Faclitiy 3 - Warehouse</v>
      </c>
      <c r="C169" s="448">
        <f>'6.Cons Profit &amp; Loss'!B10</f>
        <v>0</v>
      </c>
      <c r="D169" s="448">
        <f>'6.Cons Profit &amp; Loss'!C10</f>
        <v>0</v>
      </c>
      <c r="E169" s="448">
        <f>'6.Cons Profit &amp; Loss'!D10</f>
        <v>0</v>
      </c>
      <c r="F169" s="448">
        <f>'6.Cons Profit &amp; Loss'!E10</f>
        <v>0</v>
      </c>
      <c r="G169" s="448">
        <f>'6.Cons Profit &amp; Loss'!F10</f>
        <v>0</v>
      </c>
      <c r="H169" s="448">
        <f>'6.Cons Profit &amp; Loss'!G10</f>
        <v>0</v>
      </c>
      <c r="I169" s="448">
        <f>'6.Cons Profit &amp; Loss'!H10</f>
        <v>0</v>
      </c>
    </row>
    <row r="170" spans="2:9">
      <c r="B170" s="48" t="str">
        <f t="shared" si="25"/>
        <v xml:space="preserve">Faclitiy 4 - Custom Hiring </v>
      </c>
      <c r="C170" s="448">
        <f>'6.Cons Profit &amp; Loss'!B11</f>
        <v>0</v>
      </c>
      <c r="D170" s="448">
        <f>'6.Cons Profit &amp; Loss'!C11</f>
        <v>0</v>
      </c>
      <c r="E170" s="448">
        <f>'6.Cons Profit &amp; Loss'!D11</f>
        <v>0</v>
      </c>
      <c r="F170" s="448">
        <f>'6.Cons Profit &amp; Loss'!E11</f>
        <v>0</v>
      </c>
      <c r="G170" s="448">
        <f>'6.Cons Profit &amp; Loss'!F11</f>
        <v>0</v>
      </c>
      <c r="H170" s="448">
        <f>'6.Cons Profit &amp; Loss'!G11</f>
        <v>0</v>
      </c>
      <c r="I170" s="448">
        <f>'6.Cons Profit &amp; Loss'!H11</f>
        <v>0</v>
      </c>
    </row>
    <row r="171" spans="2:9">
      <c r="B171" s="48" t="str">
        <f t="shared" si="25"/>
        <v>Faclitiy 5 - Agri Input Centre</v>
      </c>
      <c r="C171" s="448">
        <f>'6.Cons Profit &amp; Loss'!B12</f>
        <v>0</v>
      </c>
      <c r="D171" s="448">
        <f>'6.Cons Profit &amp; Loss'!C12</f>
        <v>0</v>
      </c>
      <c r="E171" s="448">
        <f>'6.Cons Profit &amp; Loss'!D12</f>
        <v>0</v>
      </c>
      <c r="F171" s="448">
        <f>'6.Cons Profit &amp; Loss'!E12</f>
        <v>0</v>
      </c>
      <c r="G171" s="448">
        <f>'6.Cons Profit &amp; Loss'!F12</f>
        <v>0</v>
      </c>
      <c r="H171" s="448">
        <f>'6.Cons Profit &amp; Loss'!G12</f>
        <v>0</v>
      </c>
      <c r="I171" s="448">
        <f>'6.Cons Profit &amp; Loss'!H12</f>
        <v>0</v>
      </c>
    </row>
    <row r="172" spans="2:9">
      <c r="B172" s="48" t="str">
        <f t="shared" si="25"/>
        <v>Faclitiy 2 - Processing Unit- Rice Mill</v>
      </c>
      <c r="C172" s="448">
        <f>+SUM('6.Cons Profit &amp; Loss'!B13:B15)</f>
        <v>369.12050000000005</v>
      </c>
      <c r="D172" s="448">
        <f>+SUM('6.Cons Profit &amp; Loss'!C13:C15)</f>
        <v>387.576525</v>
      </c>
      <c r="E172" s="448">
        <f>+SUM('6.Cons Profit &amp; Loss'!D13:D15)</f>
        <v>407.00561583333331</v>
      </c>
      <c r="F172" s="448">
        <f>+SUM('6.Cons Profit &amp; Loss'!E13:E15)</f>
        <v>427.37365933333331</v>
      </c>
      <c r="G172" s="448">
        <f>+SUM('6.Cons Profit &amp; Loss'!F13:F15)</f>
        <v>448.7446806333333</v>
      </c>
      <c r="H172" s="448">
        <f>+SUM('6.Cons Profit &amp; Loss'!G13:G15)</f>
        <v>504.72054956666665</v>
      </c>
      <c r="I172" s="448">
        <f>+SUM('6.Cons Profit &amp; Loss'!H13:H15)</f>
        <v>565.31775118133339</v>
      </c>
    </row>
    <row r="173" spans="2:9">
      <c r="B173" s="48" t="str">
        <f t="shared" si="25"/>
        <v>Changes In FG Closing Stock</v>
      </c>
      <c r="C173" s="448">
        <f>+'6.Cons Profit &amp; Loss'!B18-'6.Cons Profit &amp; Loss'!B17</f>
        <v>15.3475</v>
      </c>
      <c r="D173" s="448">
        <f>+'6.Cons Profit &amp; Loss'!C18-'6.Cons Profit &amp; Loss'!C17</f>
        <v>16.882249999999996</v>
      </c>
      <c r="E173" s="448">
        <f>+'6.Cons Profit &amp; Loss'!D18-'6.Cons Profit &amp; Loss'!D17</f>
        <v>18.538662500000001</v>
      </c>
      <c r="F173" s="448">
        <f>+'6.Cons Profit &amp; Loss'!E18-'6.Cons Profit &amp; Loss'!E17</f>
        <v>20.310454166666673</v>
      </c>
      <c r="G173" s="448">
        <f>+'6.Cons Profit &amp; Loss'!F18-'6.Cons Profit &amp; Loss'!F17</f>
        <v>22.212654166666667</v>
      </c>
      <c r="H173" s="448">
        <f>+'6.Cons Profit &amp; Loss'!G18-'6.Cons Profit &amp; Loss'!G17</f>
        <v>25.653599999999997</v>
      </c>
      <c r="I173" s="448">
        <f>+'6.Cons Profit &amp; Loss'!H18-'6.Cons Profit &amp; Loss'!H17</f>
        <v>29.460237500000005</v>
      </c>
    </row>
    <row r="174" spans="2:9">
      <c r="B174" s="48" t="s">
        <v>341</v>
      </c>
      <c r="C174" s="448">
        <f>SUM(C167:C173)</f>
        <v>384.46800000000007</v>
      </c>
      <c r="D174" s="448">
        <f t="shared" ref="D174:I174" si="26">SUM(D167:D173)</f>
        <v>404.458775</v>
      </c>
      <c r="E174" s="448">
        <f t="shared" si="26"/>
        <v>425.5442783333333</v>
      </c>
      <c r="F174" s="448">
        <f t="shared" si="26"/>
        <v>447.68411349999997</v>
      </c>
      <c r="G174" s="448">
        <f t="shared" si="26"/>
        <v>470.95733479999996</v>
      </c>
      <c r="H174" s="448">
        <f t="shared" si="26"/>
        <v>530.37414956666669</v>
      </c>
      <c r="I174" s="448">
        <f t="shared" si="26"/>
        <v>594.77798868133345</v>
      </c>
    </row>
    <row r="175" spans="2:9">
      <c r="B175" s="48" t="s">
        <v>342</v>
      </c>
      <c r="C175" s="448"/>
      <c r="D175" s="448"/>
      <c r="E175" s="448"/>
      <c r="F175" s="448"/>
      <c r="G175" s="448"/>
      <c r="H175" s="448"/>
      <c r="I175" s="448"/>
    </row>
    <row r="176" spans="2:9">
      <c r="B176" s="48" t="s">
        <v>343</v>
      </c>
      <c r="C176" s="448">
        <f>'6.Cons Profit &amp; Loss'!B40*(1-$M$124)</f>
        <v>10.355618782499999</v>
      </c>
      <c r="D176" s="448">
        <f>'6.Cons Profit &amp; Loss'!C40*(1-$M$124)</f>
        <v>10.871974721625001</v>
      </c>
      <c r="E176" s="448">
        <f>'6.Cons Profit &amp; Loss'!D40*(1-$M$124)</f>
        <v>11.442846532706248</v>
      </c>
      <c r="F176" s="448">
        <f>'6.Cons Profit &amp; Loss'!E40*(1-$M$124)</f>
        <v>12.07842509610094</v>
      </c>
      <c r="G176" s="448">
        <f>'6.Cons Profit &amp; Loss'!F40*(1-$M$124)</f>
        <v>12.796387413571479</v>
      </c>
      <c r="H176" s="448">
        <f>'6.Cons Profit &amp; Loss'!G40*(1-$M$124)</f>
        <v>13.626669124616258</v>
      </c>
      <c r="I176" s="448">
        <f>'6.Cons Profit &amp; Loss'!H40*(1-$M$124)</f>
        <v>14.620545194698533</v>
      </c>
    </row>
    <row r="177" spans="2:13">
      <c r="B177" s="48" t="s">
        <v>302</v>
      </c>
      <c r="C177" s="448">
        <f>'6.Cons Profit &amp; Loss'!B29*(1-$M$124)</f>
        <v>315.38704199999995</v>
      </c>
      <c r="D177" s="448">
        <f>'6.Cons Profit &amp; Loss'!C29*(1-$M$124)</f>
        <v>330.97806200000002</v>
      </c>
      <c r="E177" s="448">
        <f>'6.Cons Profit &amp; Loss'!D29*(1-$M$124)</f>
        <v>347.50464200000005</v>
      </c>
      <c r="F177" s="448">
        <f>'6.Cons Profit &amp; Loss'!E29*(1-$M$124)</f>
        <v>364.80072200000006</v>
      </c>
      <c r="G177" s="448">
        <f>'6.Cons Profit &amp; Loss'!F29*(1-$M$124)</f>
        <v>382.85680200000002</v>
      </c>
      <c r="H177" s="448">
        <f>'6.Cons Profit &amp; Loss'!G29*(1-$M$124)</f>
        <v>430.500765</v>
      </c>
      <c r="I177" s="448">
        <f>'6.Cons Profit &amp; Loss'!H29*(1-$M$124)</f>
        <v>482.57932799999992</v>
      </c>
    </row>
    <row r="178" spans="2:13">
      <c r="B178" s="48" t="s">
        <v>344</v>
      </c>
      <c r="C178" s="448">
        <f>SUM(C176:C177)</f>
        <v>325.74266078249997</v>
      </c>
      <c r="D178" s="448">
        <f t="shared" ref="D178:I178" si="27">SUM(D176:D177)</f>
        <v>341.85003672162503</v>
      </c>
      <c r="E178" s="448">
        <f t="shared" si="27"/>
        <v>358.9474885327063</v>
      </c>
      <c r="F178" s="448">
        <f t="shared" si="27"/>
        <v>376.87914709610101</v>
      </c>
      <c r="G178" s="448">
        <f t="shared" si="27"/>
        <v>395.65318941357151</v>
      </c>
      <c r="H178" s="448">
        <f t="shared" si="27"/>
        <v>444.12743412461629</v>
      </c>
      <c r="I178" s="448">
        <f t="shared" si="27"/>
        <v>497.19987319469845</v>
      </c>
    </row>
    <row r="179" spans="2:13">
      <c r="B179" s="51" t="s">
        <v>345</v>
      </c>
      <c r="C179" s="52">
        <f t="shared" ref="C179:I179" si="28">+C174-C178</f>
        <v>58.725339217500107</v>
      </c>
      <c r="D179" s="52">
        <f t="shared" si="28"/>
        <v>62.608738278374972</v>
      </c>
      <c r="E179" s="52">
        <f t="shared" si="28"/>
        <v>66.596789800626993</v>
      </c>
      <c r="F179" s="52">
        <f t="shared" si="28"/>
        <v>70.804966403898959</v>
      </c>
      <c r="G179" s="52">
        <f t="shared" si="28"/>
        <v>75.304145386428445</v>
      </c>
      <c r="H179" s="52">
        <f t="shared" si="28"/>
        <v>86.246715442050402</v>
      </c>
      <c r="I179" s="52">
        <f t="shared" si="28"/>
        <v>97.578115486634999</v>
      </c>
    </row>
    <row r="181" spans="2:13" ht="41.1" customHeight="1">
      <c r="B181" s="661" t="s">
        <v>505</v>
      </c>
      <c r="C181" s="661"/>
      <c r="D181" s="661"/>
      <c r="E181" s="661"/>
      <c r="F181" s="661"/>
      <c r="G181" s="661"/>
      <c r="H181" s="661"/>
      <c r="I181" s="661"/>
      <c r="J181" s="249"/>
      <c r="K181" s="249"/>
      <c r="L181" s="249"/>
      <c r="M181" s="249"/>
    </row>
  </sheetData>
  <sheetProtection formatCells="0" formatColumns="0" formatRows="0" insertColumns="0" insertRows="0" insertHyperlinks="0" deleteColumns="0" deleteRows="0" sort="0" autoFilter="0" pivotTables="0"/>
  <mergeCells count="20">
    <mergeCell ref="B181:I181"/>
    <mergeCell ref="B120:I120"/>
    <mergeCell ref="K120:R120"/>
    <mergeCell ref="D20:J20"/>
    <mergeCell ref="D22:J22"/>
    <mergeCell ref="B85:I85"/>
    <mergeCell ref="B100:J100"/>
    <mergeCell ref="B118:J118"/>
    <mergeCell ref="B102:I102"/>
    <mergeCell ref="B73:I73"/>
    <mergeCell ref="C79:I79"/>
    <mergeCell ref="C80:I80"/>
    <mergeCell ref="C82:I82"/>
    <mergeCell ref="B87:J87"/>
    <mergeCell ref="B48:I48"/>
    <mergeCell ref="B5:J5"/>
    <mergeCell ref="B26:I26"/>
    <mergeCell ref="B51:I51"/>
    <mergeCell ref="B24:J24"/>
    <mergeCell ref="B72:I72"/>
  </mergeCells>
  <hyperlinks>
    <hyperlink ref="B24" r:id="rId1" display="https://www.investopedia.com/terms/d/discountrate.asp"/>
  </hyperlinks>
  <pageMargins left="0.7" right="0.7" top="0.75" bottom="0.75" header="0.3" footer="0.3"/>
  <pageSetup scale="58"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70" zoomScaleSheetLayoutView="70" workbookViewId="0">
      <selection activeCell="G168" sqref="G168"/>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602" t="s">
        <v>543</v>
      </c>
      <c r="B2" s="602"/>
      <c r="C2" s="602"/>
      <c r="D2" s="602"/>
      <c r="E2" s="602"/>
      <c r="F2" s="602"/>
      <c r="G2" s="602"/>
      <c r="H2" s="602"/>
    </row>
    <row r="3" spans="1:8" ht="18.75">
      <c r="A3" s="602" t="s">
        <v>544</v>
      </c>
      <c r="B3" s="602"/>
      <c r="C3" s="602"/>
      <c r="D3" s="602"/>
      <c r="E3" s="602"/>
      <c r="F3" s="602"/>
      <c r="G3" s="602"/>
      <c r="H3" s="602"/>
    </row>
    <row r="4" spans="1:8">
      <c r="B4" s="62"/>
      <c r="C4" s="62"/>
      <c r="D4" s="62"/>
      <c r="E4" s="62"/>
      <c r="F4" s="604" t="s">
        <v>461</v>
      </c>
      <c r="G4" s="604"/>
      <c r="H4" s="604"/>
    </row>
    <row r="5" spans="1:8">
      <c r="A5" s="62" t="s">
        <v>156</v>
      </c>
      <c r="B5" s="180">
        <f>(2*1000)/100</f>
        <v>20</v>
      </c>
      <c r="C5" s="62" t="s">
        <v>439</v>
      </c>
      <c r="D5" s="62"/>
      <c r="E5" s="62"/>
      <c r="F5" s="214" t="s">
        <v>462</v>
      </c>
      <c r="G5" s="214" t="s">
        <v>463</v>
      </c>
      <c r="H5" s="62"/>
    </row>
    <row r="6" spans="1:8">
      <c r="A6" s="62" t="s">
        <v>157</v>
      </c>
      <c r="B6" s="206">
        <v>8</v>
      </c>
      <c r="C6" s="62"/>
      <c r="D6" s="62"/>
      <c r="E6" s="62"/>
      <c r="F6" s="9" t="s">
        <v>459</v>
      </c>
      <c r="G6" s="233">
        <v>0.03</v>
      </c>
      <c r="H6" s="62"/>
    </row>
    <row r="7" spans="1:8">
      <c r="A7" s="62"/>
      <c r="B7" s="62"/>
      <c r="C7" s="62"/>
      <c r="D7" s="62"/>
      <c r="E7" s="62"/>
      <c r="F7" s="9" t="s">
        <v>460</v>
      </c>
      <c r="G7" s="233">
        <v>0.05</v>
      </c>
      <c r="H7" s="62"/>
    </row>
    <row r="8" spans="1:8">
      <c r="A8" s="62" t="s">
        <v>494</v>
      </c>
      <c r="B8" s="62">
        <v>300</v>
      </c>
      <c r="C8" s="62"/>
      <c r="D8" s="62"/>
      <c r="E8" s="62"/>
      <c r="F8" s="9"/>
      <c r="G8" s="233"/>
      <c r="H8" s="62"/>
    </row>
    <row r="9" spans="1:8">
      <c r="A9" s="103" t="s">
        <v>0</v>
      </c>
      <c r="B9" s="83" t="s">
        <v>2</v>
      </c>
      <c r="C9" s="83" t="s">
        <v>3</v>
      </c>
      <c r="D9" s="83" t="s">
        <v>4</v>
      </c>
      <c r="E9" s="83" t="s">
        <v>5</v>
      </c>
      <c r="F9" s="83" t="s">
        <v>6</v>
      </c>
      <c r="G9" s="83" t="s">
        <v>164</v>
      </c>
      <c r="H9" s="83" t="s">
        <v>163</v>
      </c>
    </row>
    <row r="10" spans="1:8">
      <c r="A10" s="63" t="s">
        <v>438</v>
      </c>
      <c r="B10" s="130">
        <f>B33/($B$5*$B$6)</f>
        <v>12.599999999999998</v>
      </c>
      <c r="C10" s="130">
        <f t="shared" ref="C10:H10" si="0">C33/($B$5*$B$6)</f>
        <v>12.599999999999998</v>
      </c>
      <c r="D10" s="130">
        <f t="shared" si="0"/>
        <v>12.599999999999998</v>
      </c>
      <c r="E10" s="130">
        <f t="shared" si="0"/>
        <v>12.599999999999998</v>
      </c>
      <c r="F10" s="130">
        <f t="shared" si="0"/>
        <v>12.599999999999998</v>
      </c>
      <c r="G10" s="130">
        <f t="shared" si="0"/>
        <v>13.5</v>
      </c>
      <c r="H10" s="130">
        <f t="shared" si="0"/>
        <v>14.4</v>
      </c>
    </row>
    <row r="11" spans="1:8">
      <c r="A11" s="137" t="str">
        <f>'10.Grain Production details'!A42</f>
        <v>Soybean</v>
      </c>
      <c r="B11" s="137">
        <f>'10.Grain Production details'!B42</f>
        <v>0</v>
      </c>
      <c r="C11" s="137">
        <f>'10.Grain Production details'!C42</f>
        <v>0</v>
      </c>
      <c r="D11" s="137">
        <f>'10.Grain Production details'!D42</f>
        <v>0</v>
      </c>
      <c r="E11" s="137">
        <f>'10.Grain Production details'!E42</f>
        <v>0</v>
      </c>
      <c r="F11" s="137">
        <f>'10.Grain Production details'!F42</f>
        <v>0</v>
      </c>
      <c r="G11" s="137">
        <f>'10.Grain Production details'!G42</f>
        <v>0</v>
      </c>
      <c r="H11" s="137">
        <f>'10.Grain Production details'!H42</f>
        <v>0</v>
      </c>
    </row>
    <row r="12" spans="1:8">
      <c r="A12" s="137" t="str">
        <f>'10.Grain Production details'!A43</f>
        <v>Red Gram/Tur</v>
      </c>
      <c r="B12" s="137">
        <f>'10.Grain Production details'!B43</f>
        <v>0</v>
      </c>
      <c r="C12" s="137">
        <f>'10.Grain Production details'!C43</f>
        <v>0</v>
      </c>
      <c r="D12" s="137">
        <f>'10.Grain Production details'!D43</f>
        <v>0</v>
      </c>
      <c r="E12" s="137">
        <f>'10.Grain Production details'!E43</f>
        <v>0</v>
      </c>
      <c r="F12" s="137">
        <f>'10.Grain Production details'!F43</f>
        <v>0</v>
      </c>
      <c r="G12" s="137">
        <f>'10.Grain Production details'!G43</f>
        <v>0</v>
      </c>
      <c r="H12" s="137">
        <f>'10.Grain Production details'!H43</f>
        <v>0</v>
      </c>
    </row>
    <row r="13" spans="1:8">
      <c r="A13" s="137" t="str">
        <f>'10.Grain Production details'!A44</f>
        <v>Paddy/Rice</v>
      </c>
      <c r="B13" s="137">
        <f>'10.Grain Production details'!B44</f>
        <v>2015.9999999999998</v>
      </c>
      <c r="C13" s="137">
        <f>'10.Grain Production details'!C44</f>
        <v>2015.9999999999998</v>
      </c>
      <c r="D13" s="137">
        <f>'10.Grain Production details'!D44</f>
        <v>2015.9999999999998</v>
      </c>
      <c r="E13" s="137">
        <f>'10.Grain Production details'!E44</f>
        <v>2015.9999999999998</v>
      </c>
      <c r="F13" s="137">
        <f>'10.Grain Production details'!F44</f>
        <v>2015.9999999999998</v>
      </c>
      <c r="G13" s="137">
        <f>'10.Grain Production details'!G44</f>
        <v>2160</v>
      </c>
      <c r="H13" s="137">
        <f>'10.Grain Production details'!H44</f>
        <v>2304</v>
      </c>
    </row>
    <row r="14" spans="1:8">
      <c r="A14" s="137" t="str">
        <f>'10.Grain Production details'!A45</f>
        <v>Green Gram/ Moong</v>
      </c>
      <c r="B14" s="137">
        <f>'10.Grain Production details'!B45</f>
        <v>0</v>
      </c>
      <c r="C14" s="137">
        <f>'10.Grain Production details'!C45</f>
        <v>0</v>
      </c>
      <c r="D14" s="137">
        <f>'10.Grain Production details'!D45</f>
        <v>0</v>
      </c>
      <c r="E14" s="137">
        <f>'10.Grain Production details'!E45</f>
        <v>0</v>
      </c>
      <c r="F14" s="137">
        <f>'10.Grain Production details'!F45</f>
        <v>0</v>
      </c>
      <c r="G14" s="137">
        <f>'10.Grain Production details'!G45</f>
        <v>0</v>
      </c>
      <c r="H14" s="137">
        <f>'10.Grain Production details'!H45</f>
        <v>0</v>
      </c>
    </row>
    <row r="15" spans="1:8">
      <c r="A15" s="137" t="str">
        <f>'10.Grain Production details'!A46</f>
        <v>Maize</v>
      </c>
      <c r="B15" s="137">
        <f>'10.Grain Production details'!B46</f>
        <v>0</v>
      </c>
      <c r="C15" s="137">
        <f>'10.Grain Production details'!C46</f>
        <v>0</v>
      </c>
      <c r="D15" s="137">
        <f>'10.Grain Production details'!D46</f>
        <v>0</v>
      </c>
      <c r="E15" s="137">
        <f>'10.Grain Production details'!E46</f>
        <v>0</v>
      </c>
      <c r="F15" s="137">
        <f>'10.Grain Production details'!F46</f>
        <v>0</v>
      </c>
      <c r="G15" s="137">
        <f>'10.Grain Production details'!G46</f>
        <v>0</v>
      </c>
      <c r="H15" s="137">
        <f>'10.Grain Production details'!H46</f>
        <v>0</v>
      </c>
    </row>
    <row r="16" spans="1:8">
      <c r="A16" s="137" t="str">
        <f>'10.Grain Production details'!A47</f>
        <v>Black Gram/Udid</v>
      </c>
      <c r="B16" s="137">
        <f>'10.Grain Production details'!B47</f>
        <v>0</v>
      </c>
      <c r="C16" s="137">
        <f>'10.Grain Production details'!C47</f>
        <v>0</v>
      </c>
      <c r="D16" s="137">
        <f>'10.Grain Production details'!D47</f>
        <v>0</v>
      </c>
      <c r="E16" s="137">
        <f>'10.Grain Production details'!E47</f>
        <v>0</v>
      </c>
      <c r="F16" s="137">
        <f>'10.Grain Production details'!F47</f>
        <v>0</v>
      </c>
      <c r="G16" s="137">
        <f>'10.Grain Production details'!G47</f>
        <v>0</v>
      </c>
      <c r="H16" s="137">
        <f>'10.Grain Production details'!H47</f>
        <v>0</v>
      </c>
    </row>
    <row r="17" spans="1:8">
      <c r="A17" s="137" t="str">
        <f>'10.Grain Production details'!A48</f>
        <v>Bajra</v>
      </c>
      <c r="B17" s="137">
        <f>'10.Grain Production details'!B48</f>
        <v>0</v>
      </c>
      <c r="C17" s="137">
        <f>'10.Grain Production details'!C48</f>
        <v>0</v>
      </c>
      <c r="D17" s="137">
        <f>'10.Grain Production details'!D48</f>
        <v>0</v>
      </c>
      <c r="E17" s="137">
        <f>'10.Grain Production details'!E48</f>
        <v>0</v>
      </c>
      <c r="F17" s="137">
        <f>'10.Grain Production details'!F48</f>
        <v>0</v>
      </c>
      <c r="G17" s="137">
        <f>'10.Grain Production details'!G48</f>
        <v>0</v>
      </c>
      <c r="H17" s="137">
        <f>'10.Grain Production details'!H48</f>
        <v>0</v>
      </c>
    </row>
    <row r="18" spans="1:8">
      <c r="A18" s="137" t="str">
        <f>'10.Grain Production details'!A49</f>
        <v>Jawar</v>
      </c>
      <c r="B18" s="137">
        <f>'10.Grain Production details'!B49</f>
        <v>0</v>
      </c>
      <c r="C18" s="137">
        <f>'10.Grain Production details'!C49</f>
        <v>0</v>
      </c>
      <c r="D18" s="137">
        <f>'10.Grain Production details'!D49</f>
        <v>0</v>
      </c>
      <c r="E18" s="137">
        <f>'10.Grain Production details'!E49</f>
        <v>0</v>
      </c>
      <c r="F18" s="137">
        <f>'10.Grain Production details'!F49</f>
        <v>0</v>
      </c>
      <c r="G18" s="137">
        <f>'10.Grain Production details'!G49</f>
        <v>0</v>
      </c>
      <c r="H18" s="137">
        <f>'10.Grain Production details'!H49</f>
        <v>0</v>
      </c>
    </row>
    <row r="19" spans="1:8">
      <c r="A19" s="137" t="str">
        <f>'10.Grain Production details'!A50</f>
        <v>Sunflower</v>
      </c>
      <c r="B19" s="137">
        <f>'10.Grain Production details'!B50</f>
        <v>0</v>
      </c>
      <c r="C19" s="137">
        <f>'10.Grain Production details'!C50</f>
        <v>0</v>
      </c>
      <c r="D19" s="137">
        <f>'10.Grain Production details'!D50</f>
        <v>0</v>
      </c>
      <c r="E19" s="137">
        <f>'10.Grain Production details'!E50</f>
        <v>0</v>
      </c>
      <c r="F19" s="137">
        <f>'10.Grain Production details'!F50</f>
        <v>0</v>
      </c>
      <c r="G19" s="137">
        <f>'10.Grain Production details'!G50</f>
        <v>0</v>
      </c>
      <c r="H19" s="137">
        <f>'10.Grain Production details'!H50</f>
        <v>0</v>
      </c>
    </row>
    <row r="20" spans="1:8">
      <c r="A20" s="137">
        <f>'10.Grain Production details'!A51</f>
        <v>0</v>
      </c>
      <c r="B20" s="137">
        <f>'10.Grain Production details'!B51</f>
        <v>0</v>
      </c>
      <c r="C20" s="137">
        <f>'10.Grain Production details'!C51</f>
        <v>0</v>
      </c>
      <c r="D20" s="137">
        <f>'10.Grain Production details'!D51</f>
        <v>0</v>
      </c>
      <c r="E20" s="137">
        <f>'10.Grain Production details'!E51</f>
        <v>0</v>
      </c>
      <c r="F20" s="137">
        <f>'10.Grain Production details'!F51</f>
        <v>0</v>
      </c>
      <c r="G20" s="137">
        <f>'10.Grain Production details'!G51</f>
        <v>0</v>
      </c>
      <c r="H20" s="137">
        <f>'10.Grain Production details'!H51</f>
        <v>0</v>
      </c>
    </row>
    <row r="21" spans="1:8">
      <c r="A21" s="137">
        <f>'10.Grain Production details'!A52</f>
        <v>0</v>
      </c>
      <c r="B21" s="137">
        <f>'10.Grain Production details'!B52</f>
        <v>0</v>
      </c>
      <c r="C21" s="137">
        <f>'10.Grain Production details'!C52</f>
        <v>0</v>
      </c>
      <c r="D21" s="137">
        <f>'10.Grain Production details'!D52</f>
        <v>0</v>
      </c>
      <c r="E21" s="137">
        <f>'10.Grain Production details'!E52</f>
        <v>0</v>
      </c>
      <c r="F21" s="137">
        <f>'10.Grain Production details'!F52</f>
        <v>0</v>
      </c>
      <c r="G21" s="137">
        <f>'10.Grain Production details'!G52</f>
        <v>0</v>
      </c>
      <c r="H21" s="137">
        <f>'10.Grain Production details'!H52</f>
        <v>0</v>
      </c>
    </row>
    <row r="22" spans="1:8">
      <c r="A22" s="137">
        <f>'10.Grain Production details'!A53</f>
        <v>0</v>
      </c>
      <c r="B22" s="137">
        <f>'10.Grain Production details'!B53</f>
        <v>0</v>
      </c>
      <c r="C22" s="137">
        <f>'10.Grain Production details'!C53</f>
        <v>0</v>
      </c>
      <c r="D22" s="137">
        <f>'10.Grain Production details'!D53</f>
        <v>0</v>
      </c>
      <c r="E22" s="137">
        <f>'10.Grain Production details'!E53</f>
        <v>0</v>
      </c>
      <c r="F22" s="137">
        <f>'10.Grain Production details'!F53</f>
        <v>0</v>
      </c>
      <c r="G22" s="137">
        <f>'10.Grain Production details'!G53</f>
        <v>0</v>
      </c>
      <c r="H22" s="137">
        <f>'10.Grain Production details'!H53</f>
        <v>0</v>
      </c>
    </row>
    <row r="23" spans="1:8">
      <c r="A23" s="137">
        <f>'10.Grain Production details'!A54</f>
        <v>0</v>
      </c>
      <c r="B23" s="137">
        <f>'10.Grain Production details'!B54</f>
        <v>0</v>
      </c>
      <c r="C23" s="137">
        <f>'10.Grain Production details'!C54</f>
        <v>0</v>
      </c>
      <c r="D23" s="137">
        <f>'10.Grain Production details'!D54</f>
        <v>0</v>
      </c>
      <c r="E23" s="137">
        <f>'10.Grain Production details'!E54</f>
        <v>0</v>
      </c>
      <c r="F23" s="137">
        <f>'10.Grain Production details'!F54</f>
        <v>0</v>
      </c>
      <c r="G23" s="137">
        <f>'10.Grain Production details'!G54</f>
        <v>0</v>
      </c>
      <c r="H23" s="137">
        <f>'10.Grain Production details'!H54</f>
        <v>0</v>
      </c>
    </row>
    <row r="24" spans="1:8">
      <c r="A24" s="137">
        <f>'10.Grain Production details'!A55</f>
        <v>0</v>
      </c>
      <c r="B24" s="137">
        <f>'10.Grain Production details'!B55</f>
        <v>0</v>
      </c>
      <c r="C24" s="137">
        <f>'10.Grain Production details'!C55</f>
        <v>0</v>
      </c>
      <c r="D24" s="137">
        <f>'10.Grain Production details'!D55</f>
        <v>0</v>
      </c>
      <c r="E24" s="137">
        <f>'10.Grain Production details'!E55</f>
        <v>0</v>
      </c>
      <c r="F24" s="137">
        <f>'10.Grain Production details'!F55</f>
        <v>0</v>
      </c>
      <c r="G24" s="137">
        <f>'10.Grain Production details'!G55</f>
        <v>0</v>
      </c>
      <c r="H24" s="137">
        <f>'10.Grain Production details'!H55</f>
        <v>0</v>
      </c>
    </row>
    <row r="25" spans="1:8">
      <c r="A25" s="137">
        <f>'10.Grain Production details'!A56</f>
        <v>0</v>
      </c>
      <c r="B25" s="137">
        <f>'10.Grain Production details'!B56</f>
        <v>0</v>
      </c>
      <c r="C25" s="137">
        <f>'10.Grain Production details'!C56</f>
        <v>0</v>
      </c>
      <c r="D25" s="137">
        <f>'10.Grain Production details'!D56</f>
        <v>0</v>
      </c>
      <c r="E25" s="137">
        <f>'10.Grain Production details'!E56</f>
        <v>0</v>
      </c>
      <c r="F25" s="137">
        <f>'10.Grain Production details'!F56</f>
        <v>0</v>
      </c>
      <c r="G25" s="137">
        <f>'10.Grain Production details'!G56</f>
        <v>0</v>
      </c>
      <c r="H25" s="137">
        <f>'10.Grain Production details'!H56</f>
        <v>0</v>
      </c>
    </row>
    <row r="26" spans="1:8">
      <c r="A26" s="137">
        <f>'10.Grain Production details'!A57</f>
        <v>0</v>
      </c>
      <c r="B26" s="137">
        <f>'10.Grain Production details'!B57</f>
        <v>0</v>
      </c>
      <c r="C26" s="137">
        <f>'10.Grain Production details'!C57</f>
        <v>0</v>
      </c>
      <c r="D26" s="137">
        <f>'10.Grain Production details'!D57</f>
        <v>0</v>
      </c>
      <c r="E26" s="137">
        <f>'10.Grain Production details'!E57</f>
        <v>0</v>
      </c>
      <c r="F26" s="137">
        <f>'10.Grain Production details'!F57</f>
        <v>0</v>
      </c>
      <c r="G26" s="137">
        <f>'10.Grain Production details'!G57</f>
        <v>0</v>
      </c>
      <c r="H26" s="137">
        <f>'10.Grain Production details'!H57</f>
        <v>0</v>
      </c>
    </row>
    <row r="27" spans="1:8">
      <c r="A27" s="137">
        <f>'10.Grain Production details'!A58</f>
        <v>0</v>
      </c>
      <c r="B27" s="137">
        <f>'10.Grain Production details'!B58</f>
        <v>0</v>
      </c>
      <c r="C27" s="137">
        <f>'10.Grain Production details'!C58</f>
        <v>0</v>
      </c>
      <c r="D27" s="137">
        <f>'10.Grain Production details'!D58</f>
        <v>0</v>
      </c>
      <c r="E27" s="137">
        <f>'10.Grain Production details'!E58</f>
        <v>0</v>
      </c>
      <c r="F27" s="137">
        <f>'10.Grain Production details'!F58</f>
        <v>0</v>
      </c>
      <c r="G27" s="137">
        <f>'10.Grain Production details'!G58</f>
        <v>0</v>
      </c>
      <c r="H27" s="137">
        <f>'10.Grain Production details'!H58</f>
        <v>0</v>
      </c>
    </row>
    <row r="28" spans="1:8">
      <c r="A28" s="137" t="str">
        <f>'10.Grain Production details'!A59</f>
        <v>Groundnut</v>
      </c>
      <c r="B28" s="137">
        <f>'10.Grain Production details'!B59</f>
        <v>0</v>
      </c>
      <c r="C28" s="137">
        <f>'10.Grain Production details'!C59</f>
        <v>0</v>
      </c>
      <c r="D28" s="137">
        <f>'10.Grain Production details'!D59</f>
        <v>0</v>
      </c>
      <c r="E28" s="137">
        <f>'10.Grain Production details'!E59</f>
        <v>0</v>
      </c>
      <c r="F28" s="137">
        <f>'10.Grain Production details'!F59</f>
        <v>0</v>
      </c>
      <c r="G28" s="137">
        <f>'10.Grain Production details'!G59</f>
        <v>0</v>
      </c>
      <c r="H28" s="137">
        <f>'10.Grain Production details'!H59</f>
        <v>0</v>
      </c>
    </row>
    <row r="29" spans="1:8">
      <c r="A29" s="137">
        <f>'10.Grain Production details'!A60</f>
        <v>0</v>
      </c>
      <c r="B29" s="137">
        <f>'10.Grain Production details'!B60</f>
        <v>0</v>
      </c>
      <c r="C29" s="137">
        <f>'10.Grain Production details'!C60</f>
        <v>0</v>
      </c>
      <c r="D29" s="137">
        <f>'10.Grain Production details'!D60</f>
        <v>0</v>
      </c>
      <c r="E29" s="137">
        <f>'10.Grain Production details'!E60</f>
        <v>0</v>
      </c>
      <c r="F29" s="137">
        <f>'10.Grain Production details'!F60</f>
        <v>0</v>
      </c>
      <c r="G29" s="137">
        <f>'10.Grain Production details'!G60</f>
        <v>0</v>
      </c>
      <c r="H29" s="137">
        <f>'10.Grain Production details'!H60</f>
        <v>0</v>
      </c>
    </row>
    <row r="30" spans="1:8">
      <c r="A30" s="137">
        <f>'10.Grain Production details'!A61</f>
        <v>0</v>
      </c>
      <c r="B30" s="137">
        <f>'10.Grain Production details'!B61</f>
        <v>0</v>
      </c>
      <c r="C30" s="137">
        <f>'10.Grain Production details'!C61</f>
        <v>0</v>
      </c>
      <c r="D30" s="137">
        <f>'10.Grain Production details'!D61</f>
        <v>0</v>
      </c>
      <c r="E30" s="137">
        <f>'10.Grain Production details'!E61</f>
        <v>0</v>
      </c>
      <c r="F30" s="137">
        <f>'10.Grain Production details'!F61</f>
        <v>0</v>
      </c>
      <c r="G30" s="137">
        <f>'10.Grain Production details'!G61</f>
        <v>0</v>
      </c>
      <c r="H30" s="137">
        <f>'10.Grain Production details'!H61</f>
        <v>0</v>
      </c>
    </row>
    <row r="31" spans="1:8">
      <c r="A31" s="137">
        <f>'10.Grain Production details'!A62</f>
        <v>0</v>
      </c>
      <c r="B31" s="137">
        <f>'10.Grain Production details'!B62</f>
        <v>0</v>
      </c>
      <c r="C31" s="137">
        <f>'10.Grain Production details'!C62</f>
        <v>0</v>
      </c>
      <c r="D31" s="137">
        <f>'10.Grain Production details'!D62</f>
        <v>0</v>
      </c>
      <c r="E31" s="137">
        <f>'10.Grain Production details'!E62</f>
        <v>0</v>
      </c>
      <c r="F31" s="137">
        <f>'10.Grain Production details'!F62</f>
        <v>0</v>
      </c>
      <c r="G31" s="137">
        <f>'10.Grain Production details'!G62</f>
        <v>0</v>
      </c>
      <c r="H31" s="137">
        <f>'10.Grain Production details'!H62</f>
        <v>0</v>
      </c>
    </row>
    <row r="32" spans="1:8">
      <c r="A32" s="137">
        <f>'10.Grain Production details'!B63</f>
        <v>0</v>
      </c>
      <c r="B32" s="137">
        <f>'10.Grain Production details'!C63</f>
        <v>0</v>
      </c>
      <c r="C32" s="137">
        <f>'10.Grain Production details'!D63</f>
        <v>0</v>
      </c>
      <c r="D32" s="137">
        <f>'10.Grain Production details'!E63</f>
        <v>0</v>
      </c>
      <c r="E32" s="137">
        <f>'10.Grain Production details'!F63</f>
        <v>0</v>
      </c>
      <c r="F32" s="137">
        <f>'10.Grain Production details'!G63</f>
        <v>0</v>
      </c>
      <c r="G32" s="137">
        <f>'10.Grain Production details'!H63</f>
        <v>0</v>
      </c>
      <c r="H32" s="137">
        <f>'10.Grain Production details'!I63</f>
        <v>0</v>
      </c>
    </row>
    <row r="33" spans="1:8">
      <c r="A33" s="65" t="s">
        <v>491</v>
      </c>
      <c r="B33" s="137">
        <f t="shared" ref="B33:H33" si="1">SUM(B11:B32)</f>
        <v>2015.9999999999998</v>
      </c>
      <c r="C33" s="137">
        <f t="shared" si="1"/>
        <v>2015.9999999999998</v>
      </c>
      <c r="D33" s="137">
        <f t="shared" si="1"/>
        <v>2015.9999999999998</v>
      </c>
      <c r="E33" s="137">
        <f t="shared" si="1"/>
        <v>2015.9999999999998</v>
      </c>
      <c r="F33" s="137">
        <f t="shared" si="1"/>
        <v>2015.9999999999998</v>
      </c>
      <c r="G33" s="137">
        <f t="shared" si="1"/>
        <v>2160</v>
      </c>
      <c r="H33" s="137">
        <f t="shared" si="1"/>
        <v>2304</v>
      </c>
    </row>
    <row r="34" spans="1:8">
      <c r="A34" s="137" t="str">
        <f>'11.F&amp;V Crop Production details'!A1:H1</f>
        <v>Grain Crop Production Details</v>
      </c>
      <c r="B34" s="137"/>
      <c r="C34" s="137"/>
      <c r="D34" s="137"/>
      <c r="E34" s="137"/>
      <c r="F34" s="137"/>
      <c r="G34" s="137"/>
      <c r="H34" s="137"/>
    </row>
    <row r="35" spans="1:8">
      <c r="A35" s="137" t="str">
        <f>'11.F&amp;V Crop Production details'!A25</f>
        <v>Paddy</v>
      </c>
      <c r="B35" s="137">
        <f>'11.F&amp;V Crop Production details'!B25</f>
        <v>0</v>
      </c>
      <c r="C35" s="137">
        <f>'11.F&amp;V Crop Production details'!C25</f>
        <v>0</v>
      </c>
      <c r="D35" s="137">
        <f>'11.F&amp;V Crop Production details'!D25</f>
        <v>0</v>
      </c>
      <c r="E35" s="137">
        <f>'11.F&amp;V Crop Production details'!E25</f>
        <v>0</v>
      </c>
      <c r="F35" s="137">
        <f>'11.F&amp;V Crop Production details'!F25</f>
        <v>0</v>
      </c>
      <c r="G35" s="137">
        <f>'11.F&amp;V Crop Production details'!G25</f>
        <v>0</v>
      </c>
      <c r="H35" s="137">
        <f>'11.F&amp;V Crop Production details'!H25</f>
        <v>0</v>
      </c>
    </row>
    <row r="36" spans="1:8">
      <c r="A36" s="137" t="e">
        <f>'11.F&amp;V Crop Production details'!#REF!</f>
        <v>#REF!</v>
      </c>
      <c r="B36" s="137" t="e">
        <f>'11.F&amp;V Crop Production details'!#REF!</f>
        <v>#REF!</v>
      </c>
      <c r="C36" s="137" t="e">
        <f>'11.F&amp;V Crop Production details'!#REF!</f>
        <v>#REF!</v>
      </c>
      <c r="D36" s="137" t="e">
        <f>'11.F&amp;V Crop Production details'!#REF!</f>
        <v>#REF!</v>
      </c>
      <c r="E36" s="137" t="e">
        <f>'11.F&amp;V Crop Production details'!#REF!</f>
        <v>#REF!</v>
      </c>
      <c r="F36" s="137" t="e">
        <f>'11.F&amp;V Crop Production details'!#REF!</f>
        <v>#REF!</v>
      </c>
      <c r="G36" s="137" t="e">
        <f>'11.F&amp;V Crop Production details'!#REF!</f>
        <v>#REF!</v>
      </c>
      <c r="H36" s="137" t="e">
        <f>'11.F&amp;V Crop Production details'!#REF!</f>
        <v>#REF!</v>
      </c>
    </row>
    <row r="37" spans="1:8">
      <c r="A37" s="137" t="e">
        <f>'11.F&amp;V Crop Production details'!#REF!</f>
        <v>#REF!</v>
      </c>
      <c r="B37" s="137" t="e">
        <f>'11.F&amp;V Crop Production details'!#REF!</f>
        <v>#REF!</v>
      </c>
      <c r="C37" s="137" t="e">
        <f>'11.F&amp;V Crop Production details'!#REF!</f>
        <v>#REF!</v>
      </c>
      <c r="D37" s="137" t="e">
        <f>'11.F&amp;V Crop Production details'!#REF!</f>
        <v>#REF!</v>
      </c>
      <c r="E37" s="137" t="e">
        <f>'11.F&amp;V Crop Production details'!#REF!</f>
        <v>#REF!</v>
      </c>
      <c r="F37" s="137" t="e">
        <f>'11.F&amp;V Crop Production details'!#REF!</f>
        <v>#REF!</v>
      </c>
      <c r="G37" s="137" t="e">
        <f>'11.F&amp;V Crop Production details'!#REF!</f>
        <v>#REF!</v>
      </c>
      <c r="H37" s="137" t="e">
        <f>'11.F&amp;V Crop Production details'!#REF!</f>
        <v>#REF!</v>
      </c>
    </row>
    <row r="38" spans="1:8">
      <c r="A38" s="137" t="str">
        <f>'11.F&amp;V Crop Production details'!A26</f>
        <v>-</v>
      </c>
      <c r="B38" s="137">
        <f>'11.F&amp;V Crop Production details'!B26</f>
        <v>0</v>
      </c>
      <c r="C38" s="137">
        <f>'11.F&amp;V Crop Production details'!C26</f>
        <v>0</v>
      </c>
      <c r="D38" s="137">
        <f>'11.F&amp;V Crop Production details'!D26</f>
        <v>0</v>
      </c>
      <c r="E38" s="137">
        <f>'11.F&amp;V Crop Production details'!E26</f>
        <v>0</v>
      </c>
      <c r="F38" s="137">
        <f>'11.F&amp;V Crop Production details'!F26</f>
        <v>0</v>
      </c>
      <c r="G38" s="137">
        <f>'11.F&amp;V Crop Production details'!G26</f>
        <v>0</v>
      </c>
      <c r="H38" s="137">
        <f>'11.F&amp;V Crop Production details'!H26</f>
        <v>0</v>
      </c>
    </row>
    <row r="39" spans="1:8">
      <c r="A39" s="137" t="e">
        <f>'11.F&amp;V Crop Production details'!#REF!</f>
        <v>#REF!</v>
      </c>
      <c r="B39" s="137" t="e">
        <f>'11.F&amp;V Crop Production details'!#REF!</f>
        <v>#REF!</v>
      </c>
      <c r="C39" s="137" t="e">
        <f>'11.F&amp;V Crop Production details'!#REF!</f>
        <v>#REF!</v>
      </c>
      <c r="D39" s="137" t="e">
        <f>'11.F&amp;V Crop Production details'!#REF!</f>
        <v>#REF!</v>
      </c>
      <c r="E39" s="137" t="e">
        <f>'11.F&amp;V Crop Production details'!#REF!</f>
        <v>#REF!</v>
      </c>
      <c r="F39" s="137" t="e">
        <f>'11.F&amp;V Crop Production details'!#REF!</f>
        <v>#REF!</v>
      </c>
      <c r="G39" s="137" t="e">
        <f>'11.F&amp;V Crop Production details'!#REF!</f>
        <v>#REF!</v>
      </c>
      <c r="H39" s="137" t="e">
        <f>'11.F&amp;V Crop Production details'!#REF!</f>
        <v>#REF!</v>
      </c>
    </row>
    <row r="40" spans="1:8">
      <c r="A40" s="137" t="e">
        <f>'11.F&amp;V Crop Production details'!#REF!</f>
        <v>#REF!</v>
      </c>
      <c r="B40" s="137" t="e">
        <f>'11.F&amp;V Crop Production details'!#REF!</f>
        <v>#REF!</v>
      </c>
      <c r="C40" s="137" t="e">
        <f>'11.F&amp;V Crop Production details'!#REF!</f>
        <v>#REF!</v>
      </c>
      <c r="D40" s="137" t="e">
        <f>'11.F&amp;V Crop Production details'!#REF!</f>
        <v>#REF!</v>
      </c>
      <c r="E40" s="137" t="e">
        <f>'11.F&amp;V Crop Production details'!#REF!</f>
        <v>#REF!</v>
      </c>
      <c r="F40" s="137" t="e">
        <f>'11.F&amp;V Crop Production details'!#REF!</f>
        <v>#REF!</v>
      </c>
      <c r="G40" s="137" t="e">
        <f>'11.F&amp;V Crop Production details'!#REF!</f>
        <v>#REF!</v>
      </c>
      <c r="H40" s="137" t="e">
        <f>'11.F&amp;V Crop Production details'!#REF!</f>
        <v>#REF!</v>
      </c>
    </row>
    <row r="41" spans="1:8">
      <c r="A41" s="137" t="e">
        <f>'11.F&amp;V Crop Production details'!#REF!</f>
        <v>#REF!</v>
      </c>
      <c r="B41" s="137" t="e">
        <f>'11.F&amp;V Crop Production details'!#REF!</f>
        <v>#REF!</v>
      </c>
      <c r="C41" s="137" t="e">
        <f>'11.F&amp;V Crop Production details'!#REF!</f>
        <v>#REF!</v>
      </c>
      <c r="D41" s="137" t="e">
        <f>'11.F&amp;V Crop Production details'!#REF!</f>
        <v>#REF!</v>
      </c>
      <c r="E41" s="137" t="e">
        <f>'11.F&amp;V Crop Production details'!#REF!</f>
        <v>#REF!</v>
      </c>
      <c r="F41" s="137" t="e">
        <f>'11.F&amp;V Crop Production details'!#REF!</f>
        <v>#REF!</v>
      </c>
      <c r="G41" s="137" t="e">
        <f>'11.F&amp;V Crop Production details'!#REF!</f>
        <v>#REF!</v>
      </c>
      <c r="H41" s="137" t="e">
        <f>'11.F&amp;V Crop Production details'!#REF!</f>
        <v>#REF!</v>
      </c>
    </row>
    <row r="42" spans="1:8">
      <c r="A42" s="137" t="e">
        <f>'11.F&amp;V Crop Production details'!#REF!</f>
        <v>#REF!</v>
      </c>
      <c r="B42" s="137" t="e">
        <f>'11.F&amp;V Crop Production details'!#REF!</f>
        <v>#REF!</v>
      </c>
      <c r="C42" s="137" t="e">
        <f>'11.F&amp;V Crop Production details'!#REF!</f>
        <v>#REF!</v>
      </c>
      <c r="D42" s="137" t="e">
        <f>'11.F&amp;V Crop Production details'!#REF!</f>
        <v>#REF!</v>
      </c>
      <c r="E42" s="137" t="e">
        <f>'11.F&amp;V Crop Production details'!#REF!</f>
        <v>#REF!</v>
      </c>
      <c r="F42" s="137" t="e">
        <f>'11.F&amp;V Crop Production details'!#REF!</f>
        <v>#REF!</v>
      </c>
      <c r="G42" s="137" t="e">
        <f>'11.F&amp;V Crop Production details'!#REF!</f>
        <v>#REF!</v>
      </c>
      <c r="H42" s="137" t="e">
        <f>'11.F&amp;V Crop Production details'!#REF!</f>
        <v>#REF!</v>
      </c>
    </row>
    <row r="43" spans="1:8">
      <c r="A43" s="137" t="e">
        <f>'11.F&amp;V Crop Production details'!#REF!</f>
        <v>#REF!</v>
      </c>
      <c r="B43" s="137" t="e">
        <f>'11.F&amp;V Crop Production details'!#REF!</f>
        <v>#REF!</v>
      </c>
      <c r="C43" s="137" t="e">
        <f>'11.F&amp;V Crop Production details'!#REF!</f>
        <v>#REF!</v>
      </c>
      <c r="D43" s="137" t="e">
        <f>'11.F&amp;V Crop Production details'!#REF!</f>
        <v>#REF!</v>
      </c>
      <c r="E43" s="137" t="e">
        <f>'11.F&amp;V Crop Production details'!#REF!</f>
        <v>#REF!</v>
      </c>
      <c r="F43" s="137" t="e">
        <f>'11.F&amp;V Crop Production details'!#REF!</f>
        <v>#REF!</v>
      </c>
      <c r="G43" s="137" t="e">
        <f>'11.F&amp;V Crop Production details'!#REF!</f>
        <v>#REF!</v>
      </c>
      <c r="H43" s="137" t="e">
        <f>'11.F&amp;V Crop Production details'!#REF!</f>
        <v>#REF!</v>
      </c>
    </row>
    <row r="44" spans="1:8">
      <c r="A44" s="137" t="e">
        <f>'11.F&amp;V Crop Production details'!#REF!</f>
        <v>#REF!</v>
      </c>
      <c r="B44" s="137" t="e">
        <f>'11.F&amp;V Crop Production details'!#REF!</f>
        <v>#REF!</v>
      </c>
      <c r="C44" s="137" t="e">
        <f>'11.F&amp;V Crop Production details'!#REF!</f>
        <v>#REF!</v>
      </c>
      <c r="D44" s="137" t="e">
        <f>'11.F&amp;V Crop Production details'!#REF!</f>
        <v>#REF!</v>
      </c>
      <c r="E44" s="137" t="e">
        <f>'11.F&amp;V Crop Production details'!#REF!</f>
        <v>#REF!</v>
      </c>
      <c r="F44" s="137" t="e">
        <f>'11.F&amp;V Crop Production details'!#REF!</f>
        <v>#REF!</v>
      </c>
      <c r="G44" s="137" t="e">
        <f>'11.F&amp;V Crop Production details'!#REF!</f>
        <v>#REF!</v>
      </c>
      <c r="H44" s="137" t="e">
        <f>'11.F&amp;V Crop Production details'!#REF!</f>
        <v>#REF!</v>
      </c>
    </row>
    <row r="45" spans="1:8">
      <c r="A45" s="137" t="e">
        <f>'11.F&amp;V Crop Production details'!#REF!</f>
        <v>#REF!</v>
      </c>
      <c r="B45" s="137" t="e">
        <f>'11.F&amp;V Crop Production details'!#REF!</f>
        <v>#REF!</v>
      </c>
      <c r="C45" s="137" t="e">
        <f>'11.F&amp;V Crop Production details'!#REF!</f>
        <v>#REF!</v>
      </c>
      <c r="D45" s="137" t="e">
        <f>'11.F&amp;V Crop Production details'!#REF!</f>
        <v>#REF!</v>
      </c>
      <c r="E45" s="137" t="e">
        <f>'11.F&amp;V Crop Production details'!#REF!</f>
        <v>#REF!</v>
      </c>
      <c r="F45" s="137" t="e">
        <f>'11.F&amp;V Crop Production details'!#REF!</f>
        <v>#REF!</v>
      </c>
      <c r="G45" s="137" t="e">
        <f>'11.F&amp;V Crop Production details'!#REF!</f>
        <v>#REF!</v>
      </c>
      <c r="H45" s="137" t="e">
        <f>'11.F&amp;V Crop Production details'!#REF!</f>
        <v>#REF!</v>
      </c>
    </row>
    <row r="46" spans="1:8">
      <c r="A46" s="137" t="e">
        <f>'11.F&amp;V Crop Production details'!#REF!</f>
        <v>#REF!</v>
      </c>
      <c r="B46" s="137" t="e">
        <f>'11.F&amp;V Crop Production details'!#REF!</f>
        <v>#REF!</v>
      </c>
      <c r="C46" s="137" t="e">
        <f>'11.F&amp;V Crop Production details'!#REF!</f>
        <v>#REF!</v>
      </c>
      <c r="D46" s="137" t="e">
        <f>'11.F&amp;V Crop Production details'!#REF!</f>
        <v>#REF!</v>
      </c>
      <c r="E46" s="137" t="e">
        <f>'11.F&amp;V Crop Production details'!#REF!</f>
        <v>#REF!</v>
      </c>
      <c r="F46" s="137" t="e">
        <f>'11.F&amp;V Crop Production details'!#REF!</f>
        <v>#REF!</v>
      </c>
      <c r="G46" s="137" t="e">
        <f>'11.F&amp;V Crop Production details'!#REF!</f>
        <v>#REF!</v>
      </c>
      <c r="H46" s="137" t="e">
        <f>'11.F&amp;V Crop Production details'!#REF!</f>
        <v>#REF!</v>
      </c>
    </row>
    <row r="47" spans="1:8">
      <c r="A47" s="137" t="e">
        <f>'11.F&amp;V Crop Production details'!#REF!</f>
        <v>#REF!</v>
      </c>
      <c r="B47" s="137" t="e">
        <f>'11.F&amp;V Crop Production details'!#REF!</f>
        <v>#REF!</v>
      </c>
      <c r="C47" s="137" t="e">
        <f>'11.F&amp;V Crop Production details'!#REF!</f>
        <v>#REF!</v>
      </c>
      <c r="D47" s="137" t="e">
        <f>'11.F&amp;V Crop Production details'!#REF!</f>
        <v>#REF!</v>
      </c>
      <c r="E47" s="137" t="e">
        <f>'11.F&amp;V Crop Production details'!#REF!</f>
        <v>#REF!</v>
      </c>
      <c r="F47" s="137" t="e">
        <f>'11.F&amp;V Crop Production details'!#REF!</f>
        <v>#REF!</v>
      </c>
      <c r="G47" s="137" t="e">
        <f>'11.F&amp;V Crop Production details'!#REF!</f>
        <v>#REF!</v>
      </c>
      <c r="H47" s="137" t="e">
        <f>'11.F&amp;V Crop Production details'!#REF!</f>
        <v>#REF!</v>
      </c>
    </row>
    <row r="48" spans="1:8">
      <c r="A48" s="137" t="e">
        <f>'11.F&amp;V Crop Production details'!#REF!</f>
        <v>#REF!</v>
      </c>
      <c r="B48" s="137" t="e">
        <f>'11.F&amp;V Crop Production details'!#REF!</f>
        <v>#REF!</v>
      </c>
      <c r="C48" s="137" t="e">
        <f>'11.F&amp;V Crop Production details'!#REF!</f>
        <v>#REF!</v>
      </c>
      <c r="D48" s="137" t="e">
        <f>'11.F&amp;V Crop Production details'!#REF!</f>
        <v>#REF!</v>
      </c>
      <c r="E48" s="137" t="e">
        <f>'11.F&amp;V Crop Production details'!#REF!</f>
        <v>#REF!</v>
      </c>
      <c r="F48" s="137" t="e">
        <f>'11.F&amp;V Crop Production details'!#REF!</f>
        <v>#REF!</v>
      </c>
      <c r="G48" s="137" t="e">
        <f>'11.F&amp;V Crop Production details'!#REF!</f>
        <v>#REF!</v>
      </c>
      <c r="H48" s="137" t="e">
        <f>'11.F&amp;V Crop Production details'!#REF!</f>
        <v>#REF!</v>
      </c>
    </row>
    <row r="49" spans="1:8">
      <c r="A49" s="137" t="e">
        <f>'11.F&amp;V Crop Production details'!#REF!</f>
        <v>#REF!</v>
      </c>
      <c r="B49" s="137" t="e">
        <f>'11.F&amp;V Crop Production details'!#REF!</f>
        <v>#REF!</v>
      </c>
      <c r="C49" s="137" t="e">
        <f>'11.F&amp;V Crop Production details'!#REF!</f>
        <v>#REF!</v>
      </c>
      <c r="D49" s="137" t="e">
        <f>'11.F&amp;V Crop Production details'!#REF!</f>
        <v>#REF!</v>
      </c>
      <c r="E49" s="137" t="e">
        <f>'11.F&amp;V Crop Production details'!#REF!</f>
        <v>#REF!</v>
      </c>
      <c r="F49" s="137" t="e">
        <f>'11.F&amp;V Crop Production details'!#REF!</f>
        <v>#REF!</v>
      </c>
      <c r="G49" s="137" t="e">
        <f>'11.F&amp;V Crop Production details'!#REF!</f>
        <v>#REF!</v>
      </c>
      <c r="H49" s="137" t="e">
        <f>'11.F&amp;V Crop Production details'!#REF!</f>
        <v>#REF!</v>
      </c>
    </row>
    <row r="50" spans="1:8">
      <c r="A50" s="137" t="e">
        <f>'11.F&amp;V Crop Production details'!#REF!</f>
        <v>#REF!</v>
      </c>
      <c r="B50" s="137" t="e">
        <f>'11.F&amp;V Crop Production details'!#REF!</f>
        <v>#REF!</v>
      </c>
      <c r="C50" s="137" t="e">
        <f>'11.F&amp;V Crop Production details'!#REF!</f>
        <v>#REF!</v>
      </c>
      <c r="D50" s="137" t="e">
        <f>'11.F&amp;V Crop Production details'!#REF!</f>
        <v>#REF!</v>
      </c>
      <c r="E50" s="137" t="e">
        <f>'11.F&amp;V Crop Production details'!#REF!</f>
        <v>#REF!</v>
      </c>
      <c r="F50" s="137" t="e">
        <f>'11.F&amp;V Crop Production details'!#REF!</f>
        <v>#REF!</v>
      </c>
      <c r="G50" s="137" t="e">
        <f>'11.F&amp;V Crop Production details'!#REF!</f>
        <v>#REF!</v>
      </c>
      <c r="H50" s="137" t="e">
        <f>'11.F&amp;V Crop Production details'!#REF!</f>
        <v>#REF!</v>
      </c>
    </row>
    <row r="51" spans="1:8">
      <c r="A51" s="137" t="e">
        <f>'11.F&amp;V Crop Production details'!#REF!</f>
        <v>#REF!</v>
      </c>
      <c r="B51" s="137" t="e">
        <f>'11.F&amp;V Crop Production details'!#REF!</f>
        <v>#REF!</v>
      </c>
      <c r="C51" s="137" t="e">
        <f>'11.F&amp;V Crop Production details'!#REF!</f>
        <v>#REF!</v>
      </c>
      <c r="D51" s="137" t="e">
        <f>'11.F&amp;V Crop Production details'!#REF!</f>
        <v>#REF!</v>
      </c>
      <c r="E51" s="137" t="e">
        <f>'11.F&amp;V Crop Production details'!#REF!</f>
        <v>#REF!</v>
      </c>
      <c r="F51" s="137" t="e">
        <f>'11.F&amp;V Crop Production details'!#REF!</f>
        <v>#REF!</v>
      </c>
      <c r="G51" s="137" t="e">
        <f>'11.F&amp;V Crop Production details'!#REF!</f>
        <v>#REF!</v>
      </c>
      <c r="H51" s="137" t="e">
        <f>'11.F&amp;V Crop Production details'!#REF!</f>
        <v>#REF!</v>
      </c>
    </row>
    <row r="52" spans="1:8">
      <c r="A52" s="137" t="e">
        <f>'11.F&amp;V Crop Production details'!#REF!</f>
        <v>#REF!</v>
      </c>
      <c r="B52" s="137" t="e">
        <f>'11.F&amp;V Crop Production details'!#REF!</f>
        <v>#REF!</v>
      </c>
      <c r="C52" s="137" t="e">
        <f>'11.F&amp;V Crop Production details'!#REF!</f>
        <v>#REF!</v>
      </c>
      <c r="D52" s="137" t="e">
        <f>'11.F&amp;V Crop Production details'!#REF!</f>
        <v>#REF!</v>
      </c>
      <c r="E52" s="137" t="e">
        <f>'11.F&amp;V Crop Production details'!#REF!</f>
        <v>#REF!</v>
      </c>
      <c r="F52" s="137" t="e">
        <f>'11.F&amp;V Crop Production details'!#REF!</f>
        <v>#REF!</v>
      </c>
      <c r="G52" s="137" t="e">
        <f>'11.F&amp;V Crop Production details'!#REF!</f>
        <v>#REF!</v>
      </c>
      <c r="H52" s="137" t="e">
        <f>'11.F&amp;V Crop Production details'!#REF!</f>
        <v>#REF!</v>
      </c>
    </row>
    <row r="53" spans="1:8">
      <c r="A53" s="137" t="e">
        <f>'11.F&amp;V Crop Production details'!#REF!</f>
        <v>#REF!</v>
      </c>
      <c r="B53" s="137"/>
      <c r="C53" s="137"/>
      <c r="D53" s="137"/>
      <c r="E53" s="137"/>
      <c r="F53" s="137"/>
      <c r="G53" s="137"/>
      <c r="H53" s="137"/>
    </row>
    <row r="54" spans="1:8">
      <c r="A54" s="137" t="e">
        <f>'11.F&amp;V Crop Production details'!#REF!</f>
        <v>#REF!</v>
      </c>
      <c r="B54" s="137"/>
      <c r="C54" s="137"/>
      <c r="D54" s="137"/>
      <c r="E54" s="137"/>
      <c r="F54" s="137"/>
      <c r="G54" s="137"/>
      <c r="H54" s="137"/>
    </row>
    <row r="55" spans="1:8">
      <c r="A55" s="137" t="e">
        <f>'11.F&amp;V Crop Production details'!#REF!</f>
        <v>#REF!</v>
      </c>
      <c r="B55" s="137"/>
      <c r="C55" s="137"/>
      <c r="D55" s="137"/>
      <c r="E55" s="137"/>
      <c r="F55" s="137"/>
      <c r="G55" s="137"/>
      <c r="H55" s="137"/>
    </row>
    <row r="56" spans="1:8">
      <c r="A56" s="137" t="e">
        <f>'11.F&amp;V Crop Production details'!#REF!</f>
        <v>#REF!</v>
      </c>
      <c r="B56" s="137" t="e">
        <f>'11.F&amp;V Crop Production details'!#REF!</f>
        <v>#REF!</v>
      </c>
      <c r="C56" s="137" t="e">
        <f>'11.F&amp;V Crop Production details'!#REF!</f>
        <v>#REF!</v>
      </c>
      <c r="D56" s="137" t="e">
        <f>'11.F&amp;V Crop Production details'!#REF!</f>
        <v>#REF!</v>
      </c>
      <c r="E56" s="137" t="e">
        <f>'11.F&amp;V Crop Production details'!#REF!</f>
        <v>#REF!</v>
      </c>
      <c r="F56" s="137" t="e">
        <f>'11.F&amp;V Crop Production details'!#REF!</f>
        <v>#REF!</v>
      </c>
      <c r="G56" s="137" t="e">
        <f>'11.F&amp;V Crop Production details'!#REF!</f>
        <v>#REF!</v>
      </c>
      <c r="H56" s="137" t="e">
        <f>'11.F&amp;V Crop Production details'!#REF!</f>
        <v>#REF!</v>
      </c>
    </row>
    <row r="57" spans="1:8">
      <c r="A57" s="137" t="e">
        <f>'11.F&amp;V Crop Production details'!#REF!</f>
        <v>#REF!</v>
      </c>
      <c r="B57" s="137" t="e">
        <f>'11.F&amp;V Crop Production details'!#REF!</f>
        <v>#REF!</v>
      </c>
      <c r="C57" s="137" t="e">
        <f>'11.F&amp;V Crop Production details'!#REF!</f>
        <v>#REF!</v>
      </c>
      <c r="D57" s="137" t="e">
        <f>'11.F&amp;V Crop Production details'!#REF!</f>
        <v>#REF!</v>
      </c>
      <c r="E57" s="137" t="e">
        <f>'11.F&amp;V Crop Production details'!#REF!</f>
        <v>#REF!</v>
      </c>
      <c r="F57" s="137" t="e">
        <f>'11.F&amp;V Crop Production details'!#REF!</f>
        <v>#REF!</v>
      </c>
      <c r="G57" s="137" t="e">
        <f>'11.F&amp;V Crop Production details'!#REF!</f>
        <v>#REF!</v>
      </c>
      <c r="H57" s="137" t="e">
        <f>'11.F&amp;V Crop Production details'!#REF!</f>
        <v>#REF!</v>
      </c>
    </row>
    <row r="58" spans="1:8">
      <c r="A58" s="137" t="e">
        <f>'11.F&amp;V Crop Production details'!#REF!</f>
        <v>#REF!</v>
      </c>
      <c r="B58" s="137" t="e">
        <f>'11.F&amp;V Crop Production details'!#REF!</f>
        <v>#REF!</v>
      </c>
      <c r="C58" s="137" t="e">
        <f>'11.F&amp;V Crop Production details'!#REF!</f>
        <v>#REF!</v>
      </c>
      <c r="D58" s="137" t="e">
        <f>'11.F&amp;V Crop Production details'!#REF!</f>
        <v>#REF!</v>
      </c>
      <c r="E58" s="137" t="e">
        <f>'11.F&amp;V Crop Production details'!#REF!</f>
        <v>#REF!</v>
      </c>
      <c r="F58" s="137" t="e">
        <f>'11.F&amp;V Crop Production details'!#REF!</f>
        <v>#REF!</v>
      </c>
      <c r="G58" s="137" t="e">
        <f>'11.F&amp;V Crop Production details'!#REF!</f>
        <v>#REF!</v>
      </c>
      <c r="H58" s="137" t="e">
        <f>'11.F&amp;V Crop Production details'!#REF!</f>
        <v>#REF!</v>
      </c>
    </row>
    <row r="59" spans="1:8">
      <c r="A59" s="137" t="e">
        <f>'11.F&amp;V Crop Production details'!#REF!</f>
        <v>#REF!</v>
      </c>
      <c r="B59" s="137" t="e">
        <f>'11.F&amp;V Crop Production details'!#REF!</f>
        <v>#REF!</v>
      </c>
      <c r="C59" s="137" t="e">
        <f>'11.F&amp;V Crop Production details'!#REF!</f>
        <v>#REF!</v>
      </c>
      <c r="D59" s="137" t="e">
        <f>'11.F&amp;V Crop Production details'!#REF!</f>
        <v>#REF!</v>
      </c>
      <c r="E59" s="137" t="e">
        <f>'11.F&amp;V Crop Production details'!#REF!</f>
        <v>#REF!</v>
      </c>
      <c r="F59" s="137" t="e">
        <f>'11.F&amp;V Crop Production details'!#REF!</f>
        <v>#REF!</v>
      </c>
      <c r="G59" s="137" t="e">
        <f>'11.F&amp;V Crop Production details'!#REF!</f>
        <v>#REF!</v>
      </c>
      <c r="H59" s="137" t="e">
        <f>'11.F&amp;V Crop Production details'!#REF!</f>
        <v>#REF!</v>
      </c>
    </row>
    <row r="60" spans="1:8">
      <c r="A60" s="137"/>
      <c r="B60" s="137"/>
      <c r="C60" s="137"/>
      <c r="D60" s="137"/>
      <c r="E60" s="137"/>
      <c r="F60" s="137"/>
      <c r="G60" s="137"/>
      <c r="H60" s="137"/>
    </row>
    <row r="61" spans="1:8">
      <c r="A61" s="65" t="s">
        <v>490</v>
      </c>
      <c r="B61" s="137" t="e">
        <f t="shared" ref="B61:H61" si="2">SUM(B35:B59)</f>
        <v>#REF!</v>
      </c>
      <c r="C61" s="137" t="e">
        <f t="shared" si="2"/>
        <v>#REF!</v>
      </c>
      <c r="D61" s="137" t="e">
        <f t="shared" si="2"/>
        <v>#REF!</v>
      </c>
      <c r="E61" s="137" t="e">
        <f t="shared" si="2"/>
        <v>#REF!</v>
      </c>
      <c r="F61" s="137" t="e">
        <f t="shared" si="2"/>
        <v>#REF!</v>
      </c>
      <c r="G61" s="137" t="e">
        <f t="shared" si="2"/>
        <v>#REF!</v>
      </c>
      <c r="H61" s="137" t="e">
        <f t="shared" si="2"/>
        <v>#REF!</v>
      </c>
    </row>
    <row r="62" spans="1:8">
      <c r="A62" s="207" t="s">
        <v>492</v>
      </c>
      <c r="B62" s="219">
        <v>0.5</v>
      </c>
      <c r="C62" s="219">
        <v>0.5</v>
      </c>
      <c r="D62" s="219">
        <v>0.5</v>
      </c>
      <c r="E62" s="219">
        <v>0.5</v>
      </c>
      <c r="F62" s="219">
        <v>0.5</v>
      </c>
      <c r="G62" s="219">
        <v>0.5</v>
      </c>
      <c r="H62" s="219">
        <v>0.5</v>
      </c>
    </row>
    <row r="63" spans="1:8">
      <c r="A63" s="207" t="s">
        <v>493</v>
      </c>
      <c r="B63" s="219">
        <f t="shared" ref="B63:H63" si="3">1-B62</f>
        <v>0.5</v>
      </c>
      <c r="C63" s="219">
        <f t="shared" si="3"/>
        <v>0.5</v>
      </c>
      <c r="D63" s="219">
        <f t="shared" si="3"/>
        <v>0.5</v>
      </c>
      <c r="E63" s="219">
        <f t="shared" si="3"/>
        <v>0.5</v>
      </c>
      <c r="F63" s="219">
        <f t="shared" si="3"/>
        <v>0.5</v>
      </c>
      <c r="G63" s="219">
        <f t="shared" si="3"/>
        <v>0.5</v>
      </c>
      <c r="H63" s="219">
        <f t="shared" si="3"/>
        <v>0.5</v>
      </c>
    </row>
    <row r="64" spans="1:8">
      <c r="A64" s="207"/>
      <c r="B64" s="219"/>
      <c r="C64" s="219"/>
      <c r="D64" s="219"/>
      <c r="E64" s="219"/>
      <c r="F64" s="219"/>
      <c r="G64" s="219"/>
      <c r="H64" s="219"/>
    </row>
    <row r="65" spans="1:8">
      <c r="A65" s="207" t="s">
        <v>160</v>
      </c>
      <c r="B65" s="208">
        <f t="shared" ref="B65:H65" si="4">B33*B62</f>
        <v>1007.9999999999999</v>
      </c>
      <c r="C65" s="208">
        <f t="shared" si="4"/>
        <v>1007.9999999999999</v>
      </c>
      <c r="D65" s="208">
        <f t="shared" si="4"/>
        <v>1007.9999999999999</v>
      </c>
      <c r="E65" s="208">
        <f t="shared" si="4"/>
        <v>1007.9999999999999</v>
      </c>
      <c r="F65" s="208">
        <f t="shared" si="4"/>
        <v>1007.9999999999999</v>
      </c>
      <c r="G65" s="208">
        <f t="shared" si="4"/>
        <v>1080</v>
      </c>
      <c r="H65" s="208">
        <f t="shared" si="4"/>
        <v>1152</v>
      </c>
    </row>
    <row r="66" spans="1:8">
      <c r="A66" s="65"/>
      <c r="B66" s="137"/>
      <c r="C66" s="137"/>
      <c r="D66" s="137"/>
      <c r="E66" s="137"/>
      <c r="F66" s="137"/>
      <c r="G66" s="137"/>
      <c r="H66" s="137"/>
    </row>
    <row r="67" spans="1:8">
      <c r="A67" s="65" t="s">
        <v>161</v>
      </c>
      <c r="B67" s="137"/>
      <c r="C67" s="137"/>
      <c r="D67" s="137"/>
      <c r="E67" s="137"/>
      <c r="F67" s="137"/>
      <c r="G67" s="137"/>
      <c r="H67" s="137"/>
    </row>
    <row r="68" spans="1:8">
      <c r="A68" s="63" t="str">
        <f t="shared" ref="A68:A89" si="5">A11</f>
        <v>Soybean</v>
      </c>
      <c r="B68" s="218">
        <f t="shared" ref="B68:B89" si="6">B11*$B$63</f>
        <v>0</v>
      </c>
      <c r="C68" s="218">
        <f t="shared" ref="C68:C83" si="7">C11*$C$63</f>
        <v>0</v>
      </c>
      <c r="D68" s="218">
        <f t="shared" ref="D68:D83" si="8">D11*$D$63</f>
        <v>0</v>
      </c>
      <c r="E68" s="218">
        <f t="shared" ref="E68:E83" si="9">E11*$E$63</f>
        <v>0</v>
      </c>
      <c r="F68" s="218">
        <f t="shared" ref="F68:F83" si="10">F11*$F$63</f>
        <v>0</v>
      </c>
      <c r="G68" s="218">
        <f t="shared" ref="G68:G83" si="11">G11*$G$63</f>
        <v>0</v>
      </c>
      <c r="H68" s="218">
        <f t="shared" ref="H68:H83" si="12">H11*$H$63</f>
        <v>0</v>
      </c>
    </row>
    <row r="69" spans="1:8">
      <c r="A69" s="63" t="str">
        <f t="shared" si="5"/>
        <v>Red Gram/Tur</v>
      </c>
      <c r="B69" s="218">
        <f t="shared" si="6"/>
        <v>0</v>
      </c>
      <c r="C69" s="218">
        <f t="shared" si="7"/>
        <v>0</v>
      </c>
      <c r="D69" s="218">
        <f t="shared" si="8"/>
        <v>0</v>
      </c>
      <c r="E69" s="218">
        <f t="shared" si="9"/>
        <v>0</v>
      </c>
      <c r="F69" s="218">
        <f t="shared" si="10"/>
        <v>0</v>
      </c>
      <c r="G69" s="218">
        <f t="shared" si="11"/>
        <v>0</v>
      </c>
      <c r="H69" s="218">
        <f t="shared" si="12"/>
        <v>0</v>
      </c>
    </row>
    <row r="70" spans="1:8">
      <c r="A70" s="63" t="str">
        <f t="shared" si="5"/>
        <v>Paddy/Rice</v>
      </c>
      <c r="B70" s="218">
        <f t="shared" si="6"/>
        <v>1007.9999999999999</v>
      </c>
      <c r="C70" s="218">
        <f t="shared" si="7"/>
        <v>1007.9999999999999</v>
      </c>
      <c r="D70" s="218">
        <f t="shared" si="8"/>
        <v>1007.9999999999999</v>
      </c>
      <c r="E70" s="218">
        <f t="shared" si="9"/>
        <v>1007.9999999999999</v>
      </c>
      <c r="F70" s="218">
        <f t="shared" si="10"/>
        <v>1007.9999999999999</v>
      </c>
      <c r="G70" s="218">
        <f t="shared" si="11"/>
        <v>1080</v>
      </c>
      <c r="H70" s="218">
        <f t="shared" si="12"/>
        <v>1152</v>
      </c>
    </row>
    <row r="71" spans="1:8">
      <c r="A71" s="63" t="str">
        <f t="shared" si="5"/>
        <v>Green Gram/ Moong</v>
      </c>
      <c r="B71" s="218">
        <f t="shared" si="6"/>
        <v>0</v>
      </c>
      <c r="C71" s="218">
        <f t="shared" si="7"/>
        <v>0</v>
      </c>
      <c r="D71" s="218">
        <f t="shared" si="8"/>
        <v>0</v>
      </c>
      <c r="E71" s="218">
        <f t="shared" si="9"/>
        <v>0</v>
      </c>
      <c r="F71" s="218">
        <f t="shared" si="10"/>
        <v>0</v>
      </c>
      <c r="G71" s="218">
        <f t="shared" si="11"/>
        <v>0</v>
      </c>
      <c r="H71" s="218">
        <f t="shared" si="12"/>
        <v>0</v>
      </c>
    </row>
    <row r="72" spans="1:8">
      <c r="A72" s="63" t="str">
        <f t="shared" si="5"/>
        <v>Maize</v>
      </c>
      <c r="B72" s="218">
        <f t="shared" si="6"/>
        <v>0</v>
      </c>
      <c r="C72" s="218">
        <f t="shared" si="7"/>
        <v>0</v>
      </c>
      <c r="D72" s="218">
        <f t="shared" si="8"/>
        <v>0</v>
      </c>
      <c r="E72" s="218">
        <f t="shared" si="9"/>
        <v>0</v>
      </c>
      <c r="F72" s="218">
        <f t="shared" si="10"/>
        <v>0</v>
      </c>
      <c r="G72" s="218">
        <f t="shared" si="11"/>
        <v>0</v>
      </c>
      <c r="H72" s="218">
        <f t="shared" si="12"/>
        <v>0</v>
      </c>
    </row>
    <row r="73" spans="1:8">
      <c r="A73" s="63" t="str">
        <f t="shared" si="5"/>
        <v>Black Gram/Udid</v>
      </c>
      <c r="B73" s="218">
        <f t="shared" si="6"/>
        <v>0</v>
      </c>
      <c r="C73" s="218">
        <f t="shared" si="7"/>
        <v>0</v>
      </c>
      <c r="D73" s="218">
        <f t="shared" si="8"/>
        <v>0</v>
      </c>
      <c r="E73" s="218">
        <f t="shared" si="9"/>
        <v>0</v>
      </c>
      <c r="F73" s="218">
        <f t="shared" si="10"/>
        <v>0</v>
      </c>
      <c r="G73" s="218">
        <f t="shared" si="11"/>
        <v>0</v>
      </c>
      <c r="H73" s="218">
        <f t="shared" si="12"/>
        <v>0</v>
      </c>
    </row>
    <row r="74" spans="1:8">
      <c r="A74" s="63" t="str">
        <f t="shared" si="5"/>
        <v>Bajra</v>
      </c>
      <c r="B74" s="218">
        <f t="shared" si="6"/>
        <v>0</v>
      </c>
      <c r="C74" s="218">
        <f t="shared" si="7"/>
        <v>0</v>
      </c>
      <c r="D74" s="218">
        <f t="shared" si="8"/>
        <v>0</v>
      </c>
      <c r="E74" s="218">
        <f t="shared" si="9"/>
        <v>0</v>
      </c>
      <c r="F74" s="218">
        <f t="shared" si="10"/>
        <v>0</v>
      </c>
      <c r="G74" s="218">
        <f t="shared" si="11"/>
        <v>0</v>
      </c>
      <c r="H74" s="218">
        <f t="shared" si="12"/>
        <v>0</v>
      </c>
    </row>
    <row r="75" spans="1:8">
      <c r="A75" s="63" t="str">
        <f t="shared" si="5"/>
        <v>Jawar</v>
      </c>
      <c r="B75" s="218">
        <f t="shared" si="6"/>
        <v>0</v>
      </c>
      <c r="C75" s="218">
        <f t="shared" si="7"/>
        <v>0</v>
      </c>
      <c r="D75" s="218">
        <f t="shared" si="8"/>
        <v>0</v>
      </c>
      <c r="E75" s="218">
        <f t="shared" si="9"/>
        <v>0</v>
      </c>
      <c r="F75" s="218">
        <f t="shared" si="10"/>
        <v>0</v>
      </c>
      <c r="G75" s="218">
        <f t="shared" si="11"/>
        <v>0</v>
      </c>
      <c r="H75" s="218">
        <f t="shared" si="12"/>
        <v>0</v>
      </c>
    </row>
    <row r="76" spans="1:8">
      <c r="A76" s="63" t="str">
        <f t="shared" si="5"/>
        <v>Sunflower</v>
      </c>
      <c r="B76" s="218">
        <f t="shared" si="6"/>
        <v>0</v>
      </c>
      <c r="C76" s="218">
        <f t="shared" si="7"/>
        <v>0</v>
      </c>
      <c r="D76" s="218">
        <f t="shared" si="8"/>
        <v>0</v>
      </c>
      <c r="E76" s="218">
        <f t="shared" si="9"/>
        <v>0</v>
      </c>
      <c r="F76" s="218">
        <f t="shared" si="10"/>
        <v>0</v>
      </c>
      <c r="G76" s="218">
        <f t="shared" si="11"/>
        <v>0</v>
      </c>
      <c r="H76" s="218">
        <f t="shared" si="12"/>
        <v>0</v>
      </c>
    </row>
    <row r="77" spans="1:8">
      <c r="A77" s="63">
        <f t="shared" si="5"/>
        <v>0</v>
      </c>
      <c r="B77" s="218">
        <f t="shared" si="6"/>
        <v>0</v>
      </c>
      <c r="C77" s="218">
        <f t="shared" si="7"/>
        <v>0</v>
      </c>
      <c r="D77" s="218">
        <f t="shared" si="8"/>
        <v>0</v>
      </c>
      <c r="E77" s="218">
        <f t="shared" si="9"/>
        <v>0</v>
      </c>
      <c r="F77" s="218">
        <f t="shared" si="10"/>
        <v>0</v>
      </c>
      <c r="G77" s="218">
        <f t="shared" si="11"/>
        <v>0</v>
      </c>
      <c r="H77" s="218">
        <f t="shared" si="12"/>
        <v>0</v>
      </c>
    </row>
    <row r="78" spans="1:8">
      <c r="A78" s="63">
        <f t="shared" si="5"/>
        <v>0</v>
      </c>
      <c r="B78" s="218">
        <f t="shared" si="6"/>
        <v>0</v>
      </c>
      <c r="C78" s="218">
        <f t="shared" si="7"/>
        <v>0</v>
      </c>
      <c r="D78" s="218">
        <f t="shared" si="8"/>
        <v>0</v>
      </c>
      <c r="E78" s="218">
        <f t="shared" si="9"/>
        <v>0</v>
      </c>
      <c r="F78" s="218">
        <f t="shared" si="10"/>
        <v>0</v>
      </c>
      <c r="G78" s="218">
        <f t="shared" si="11"/>
        <v>0</v>
      </c>
      <c r="H78" s="218">
        <f t="shared" si="12"/>
        <v>0</v>
      </c>
    </row>
    <row r="79" spans="1:8">
      <c r="A79" s="63">
        <f t="shared" si="5"/>
        <v>0</v>
      </c>
      <c r="B79" s="218">
        <f t="shared" si="6"/>
        <v>0</v>
      </c>
      <c r="C79" s="218">
        <f t="shared" si="7"/>
        <v>0</v>
      </c>
      <c r="D79" s="218">
        <f t="shared" si="8"/>
        <v>0</v>
      </c>
      <c r="E79" s="218">
        <f t="shared" si="9"/>
        <v>0</v>
      </c>
      <c r="F79" s="218">
        <f t="shared" si="10"/>
        <v>0</v>
      </c>
      <c r="G79" s="218">
        <f t="shared" si="11"/>
        <v>0</v>
      </c>
      <c r="H79" s="218">
        <f t="shared" si="12"/>
        <v>0</v>
      </c>
    </row>
    <row r="80" spans="1:8">
      <c r="A80" s="63">
        <f t="shared" si="5"/>
        <v>0</v>
      </c>
      <c r="B80" s="218">
        <f t="shared" si="6"/>
        <v>0</v>
      </c>
      <c r="C80" s="218">
        <f t="shared" si="7"/>
        <v>0</v>
      </c>
      <c r="D80" s="218">
        <f t="shared" si="8"/>
        <v>0</v>
      </c>
      <c r="E80" s="218">
        <f t="shared" si="9"/>
        <v>0</v>
      </c>
      <c r="F80" s="218">
        <f t="shared" si="10"/>
        <v>0</v>
      </c>
      <c r="G80" s="218">
        <f t="shared" si="11"/>
        <v>0</v>
      </c>
      <c r="H80" s="218">
        <f t="shared" si="12"/>
        <v>0</v>
      </c>
    </row>
    <row r="81" spans="1:12">
      <c r="A81" s="63">
        <f t="shared" si="5"/>
        <v>0</v>
      </c>
      <c r="B81" s="218">
        <f t="shared" si="6"/>
        <v>0</v>
      </c>
      <c r="C81" s="218">
        <f t="shared" si="7"/>
        <v>0</v>
      </c>
      <c r="D81" s="218">
        <f t="shared" si="8"/>
        <v>0</v>
      </c>
      <c r="E81" s="218">
        <f t="shared" si="9"/>
        <v>0</v>
      </c>
      <c r="F81" s="218">
        <f t="shared" si="10"/>
        <v>0</v>
      </c>
      <c r="G81" s="218">
        <f t="shared" si="11"/>
        <v>0</v>
      </c>
      <c r="H81" s="218">
        <f t="shared" si="12"/>
        <v>0</v>
      </c>
    </row>
    <row r="82" spans="1:12">
      <c r="A82" s="63">
        <f t="shared" si="5"/>
        <v>0</v>
      </c>
      <c r="B82" s="218">
        <f t="shared" si="6"/>
        <v>0</v>
      </c>
      <c r="C82" s="218">
        <f t="shared" si="7"/>
        <v>0</v>
      </c>
      <c r="D82" s="218">
        <f t="shared" si="8"/>
        <v>0</v>
      </c>
      <c r="E82" s="218">
        <f t="shared" si="9"/>
        <v>0</v>
      </c>
      <c r="F82" s="218">
        <f t="shared" si="10"/>
        <v>0</v>
      </c>
      <c r="G82" s="218">
        <f t="shared" si="11"/>
        <v>0</v>
      </c>
      <c r="H82" s="218">
        <f t="shared" si="12"/>
        <v>0</v>
      </c>
    </row>
    <row r="83" spans="1:12">
      <c r="A83" s="63">
        <f t="shared" si="5"/>
        <v>0</v>
      </c>
      <c r="B83" s="218">
        <f t="shared" si="6"/>
        <v>0</v>
      </c>
      <c r="C83" s="218">
        <f t="shared" si="7"/>
        <v>0</v>
      </c>
      <c r="D83" s="218">
        <f t="shared" si="8"/>
        <v>0</v>
      </c>
      <c r="E83" s="218">
        <f t="shared" si="9"/>
        <v>0</v>
      </c>
      <c r="F83" s="218">
        <f t="shared" si="10"/>
        <v>0</v>
      </c>
      <c r="G83" s="218">
        <f t="shared" si="11"/>
        <v>0</v>
      </c>
      <c r="H83" s="218">
        <f t="shared" si="12"/>
        <v>0</v>
      </c>
    </row>
    <row r="84" spans="1:12">
      <c r="A84" s="63">
        <f t="shared" si="5"/>
        <v>0</v>
      </c>
      <c r="B84" s="218">
        <f t="shared" si="6"/>
        <v>0</v>
      </c>
      <c r="C84" s="218">
        <f t="shared" ref="C84:H89" si="13">C27*$B$63</f>
        <v>0</v>
      </c>
      <c r="D84" s="218">
        <f t="shared" si="13"/>
        <v>0</v>
      </c>
      <c r="E84" s="218">
        <f t="shared" si="13"/>
        <v>0</v>
      </c>
      <c r="F84" s="218">
        <f t="shared" si="13"/>
        <v>0</v>
      </c>
      <c r="G84" s="218">
        <f t="shared" si="13"/>
        <v>0</v>
      </c>
      <c r="H84" s="218">
        <f t="shared" si="13"/>
        <v>0</v>
      </c>
    </row>
    <row r="85" spans="1:12">
      <c r="A85" s="63" t="str">
        <f t="shared" si="5"/>
        <v>Groundnut</v>
      </c>
      <c r="B85" s="218">
        <f t="shared" si="6"/>
        <v>0</v>
      </c>
      <c r="C85" s="218">
        <f t="shared" si="13"/>
        <v>0</v>
      </c>
      <c r="D85" s="218">
        <f t="shared" si="13"/>
        <v>0</v>
      </c>
      <c r="E85" s="218">
        <f t="shared" si="13"/>
        <v>0</v>
      </c>
      <c r="F85" s="218">
        <f t="shared" si="13"/>
        <v>0</v>
      </c>
      <c r="G85" s="218">
        <f t="shared" si="13"/>
        <v>0</v>
      </c>
      <c r="H85" s="218">
        <f t="shared" si="13"/>
        <v>0</v>
      </c>
    </row>
    <row r="86" spans="1:12">
      <c r="A86" s="63">
        <f t="shared" si="5"/>
        <v>0</v>
      </c>
      <c r="B86" s="218">
        <f t="shared" si="6"/>
        <v>0</v>
      </c>
      <c r="C86" s="218">
        <f t="shared" si="13"/>
        <v>0</v>
      </c>
      <c r="D86" s="218">
        <f t="shared" si="13"/>
        <v>0</v>
      </c>
      <c r="E86" s="218">
        <f t="shared" si="13"/>
        <v>0</v>
      </c>
      <c r="F86" s="218">
        <f t="shared" si="13"/>
        <v>0</v>
      </c>
      <c r="G86" s="218">
        <f t="shared" si="13"/>
        <v>0</v>
      </c>
      <c r="H86" s="218">
        <f t="shared" si="13"/>
        <v>0</v>
      </c>
    </row>
    <row r="87" spans="1:12">
      <c r="A87" s="63">
        <f t="shared" si="5"/>
        <v>0</v>
      </c>
      <c r="B87" s="218">
        <f t="shared" si="6"/>
        <v>0</v>
      </c>
      <c r="C87" s="218">
        <f t="shared" si="13"/>
        <v>0</v>
      </c>
      <c r="D87" s="218">
        <f t="shared" si="13"/>
        <v>0</v>
      </c>
      <c r="E87" s="218">
        <f t="shared" si="13"/>
        <v>0</v>
      </c>
      <c r="F87" s="218">
        <f t="shared" si="13"/>
        <v>0</v>
      </c>
      <c r="G87" s="218">
        <f t="shared" si="13"/>
        <v>0</v>
      </c>
      <c r="H87" s="218">
        <f t="shared" si="13"/>
        <v>0</v>
      </c>
    </row>
    <row r="88" spans="1:12">
      <c r="A88" s="63">
        <f t="shared" si="5"/>
        <v>0</v>
      </c>
      <c r="B88" s="218">
        <f t="shared" si="6"/>
        <v>0</v>
      </c>
      <c r="C88" s="218">
        <f t="shared" si="13"/>
        <v>0</v>
      </c>
      <c r="D88" s="218">
        <f t="shared" si="13"/>
        <v>0</v>
      </c>
      <c r="E88" s="218">
        <f t="shared" si="13"/>
        <v>0</v>
      </c>
      <c r="F88" s="218">
        <f t="shared" si="13"/>
        <v>0</v>
      </c>
      <c r="G88" s="218">
        <f t="shared" si="13"/>
        <v>0</v>
      </c>
      <c r="H88" s="218">
        <f t="shared" si="13"/>
        <v>0</v>
      </c>
    </row>
    <row r="89" spans="1:12">
      <c r="A89" s="63">
        <f t="shared" si="5"/>
        <v>0</v>
      </c>
      <c r="B89" s="218">
        <f t="shared" si="6"/>
        <v>0</v>
      </c>
      <c r="C89" s="218">
        <f t="shared" si="13"/>
        <v>0</v>
      </c>
      <c r="D89" s="218">
        <f t="shared" si="13"/>
        <v>0</v>
      </c>
      <c r="E89" s="218">
        <f t="shared" si="13"/>
        <v>0</v>
      </c>
      <c r="F89" s="218">
        <f t="shared" si="13"/>
        <v>0</v>
      </c>
      <c r="G89" s="218">
        <f t="shared" si="13"/>
        <v>0</v>
      </c>
      <c r="H89" s="218">
        <f t="shared" si="13"/>
        <v>0</v>
      </c>
    </row>
    <row r="90" spans="1:12">
      <c r="A90" s="63"/>
      <c r="B90" s="218"/>
      <c r="C90" s="218"/>
      <c r="D90" s="218"/>
      <c r="E90" s="218"/>
      <c r="F90" s="218"/>
      <c r="G90" s="218"/>
      <c r="H90" s="218"/>
      <c r="J90" s="13"/>
      <c r="K90" s="13"/>
      <c r="L90" s="13"/>
    </row>
    <row r="91" spans="1:12">
      <c r="A91" s="63" t="str">
        <f t="shared" ref="A91:A109" si="14">A34</f>
        <v>Grain Crop Production Details</v>
      </c>
      <c r="B91" s="218"/>
      <c r="C91" s="218"/>
      <c r="D91" s="218"/>
      <c r="E91" s="218"/>
      <c r="F91" s="218"/>
      <c r="G91" s="218"/>
      <c r="H91" s="218"/>
      <c r="J91" s="13"/>
      <c r="K91" s="13"/>
      <c r="L91" s="13"/>
    </row>
    <row r="92" spans="1:12">
      <c r="A92" s="63" t="str">
        <f t="shared" si="14"/>
        <v>Paddy</v>
      </c>
      <c r="B92" s="218">
        <f t="shared" ref="B92:H101" si="15">B35</f>
        <v>0</v>
      </c>
      <c r="C92" s="218">
        <f t="shared" si="15"/>
        <v>0</v>
      </c>
      <c r="D92" s="218">
        <f t="shared" si="15"/>
        <v>0</v>
      </c>
      <c r="E92" s="218">
        <f t="shared" si="15"/>
        <v>0</v>
      </c>
      <c r="F92" s="218">
        <f t="shared" si="15"/>
        <v>0</v>
      </c>
      <c r="G92" s="218">
        <f t="shared" si="15"/>
        <v>0</v>
      </c>
      <c r="H92" s="218">
        <f t="shared" si="15"/>
        <v>0</v>
      </c>
      <c r="J92" s="13"/>
      <c r="K92" s="13"/>
      <c r="L92" s="13"/>
    </row>
    <row r="93" spans="1:12">
      <c r="A93" s="63" t="e">
        <f t="shared" si="14"/>
        <v>#REF!</v>
      </c>
      <c r="B93" s="218" t="e">
        <f t="shared" si="15"/>
        <v>#REF!</v>
      </c>
      <c r="C93" s="218" t="e">
        <f t="shared" si="15"/>
        <v>#REF!</v>
      </c>
      <c r="D93" s="218" t="e">
        <f t="shared" si="15"/>
        <v>#REF!</v>
      </c>
      <c r="E93" s="218" t="e">
        <f t="shared" si="15"/>
        <v>#REF!</v>
      </c>
      <c r="F93" s="218" t="e">
        <f t="shared" si="15"/>
        <v>#REF!</v>
      </c>
      <c r="G93" s="218" t="e">
        <f t="shared" si="15"/>
        <v>#REF!</v>
      </c>
      <c r="H93" s="218" t="e">
        <f t="shared" si="15"/>
        <v>#REF!</v>
      </c>
      <c r="J93" s="13"/>
      <c r="K93" s="13"/>
      <c r="L93" s="13"/>
    </row>
    <row r="94" spans="1:12">
      <c r="A94" s="63" t="e">
        <f t="shared" si="14"/>
        <v>#REF!</v>
      </c>
      <c r="B94" s="218" t="e">
        <f t="shared" si="15"/>
        <v>#REF!</v>
      </c>
      <c r="C94" s="218" t="e">
        <f t="shared" si="15"/>
        <v>#REF!</v>
      </c>
      <c r="D94" s="218" t="e">
        <f t="shared" si="15"/>
        <v>#REF!</v>
      </c>
      <c r="E94" s="218" t="e">
        <f t="shared" si="15"/>
        <v>#REF!</v>
      </c>
      <c r="F94" s="218" t="e">
        <f t="shared" si="15"/>
        <v>#REF!</v>
      </c>
      <c r="G94" s="218" t="e">
        <f t="shared" si="15"/>
        <v>#REF!</v>
      </c>
      <c r="H94" s="218" t="e">
        <f t="shared" si="15"/>
        <v>#REF!</v>
      </c>
      <c r="J94" s="13"/>
      <c r="K94" s="13"/>
      <c r="L94" s="13"/>
    </row>
    <row r="95" spans="1:12">
      <c r="A95" s="63" t="str">
        <f t="shared" si="14"/>
        <v>-</v>
      </c>
      <c r="B95" s="218">
        <f t="shared" si="15"/>
        <v>0</v>
      </c>
      <c r="C95" s="218">
        <f t="shared" si="15"/>
        <v>0</v>
      </c>
      <c r="D95" s="218">
        <f t="shared" si="15"/>
        <v>0</v>
      </c>
      <c r="E95" s="218">
        <f t="shared" si="15"/>
        <v>0</v>
      </c>
      <c r="F95" s="218">
        <f t="shared" si="15"/>
        <v>0</v>
      </c>
      <c r="G95" s="218">
        <f t="shared" si="15"/>
        <v>0</v>
      </c>
      <c r="H95" s="218">
        <f t="shared" si="15"/>
        <v>0</v>
      </c>
      <c r="J95" s="13"/>
      <c r="K95" s="13"/>
      <c r="L95" s="13"/>
    </row>
    <row r="96" spans="1:12">
      <c r="A96" s="63" t="e">
        <f t="shared" si="14"/>
        <v>#REF!</v>
      </c>
      <c r="B96" s="218" t="e">
        <f t="shared" si="15"/>
        <v>#REF!</v>
      </c>
      <c r="C96" s="218" t="e">
        <f t="shared" si="15"/>
        <v>#REF!</v>
      </c>
      <c r="D96" s="218" t="e">
        <f t="shared" si="15"/>
        <v>#REF!</v>
      </c>
      <c r="E96" s="218" t="e">
        <f t="shared" si="15"/>
        <v>#REF!</v>
      </c>
      <c r="F96" s="218" t="e">
        <f t="shared" si="15"/>
        <v>#REF!</v>
      </c>
      <c r="G96" s="218" t="e">
        <f t="shared" si="15"/>
        <v>#REF!</v>
      </c>
      <c r="H96" s="218" t="e">
        <f t="shared" si="15"/>
        <v>#REF!</v>
      </c>
      <c r="J96" s="13"/>
      <c r="K96" s="13"/>
      <c r="L96" s="13"/>
    </row>
    <row r="97" spans="1:12">
      <c r="A97" s="63" t="e">
        <f t="shared" si="14"/>
        <v>#REF!</v>
      </c>
      <c r="B97" s="218" t="e">
        <f t="shared" si="15"/>
        <v>#REF!</v>
      </c>
      <c r="C97" s="218" t="e">
        <f t="shared" si="15"/>
        <v>#REF!</v>
      </c>
      <c r="D97" s="218" t="e">
        <f t="shared" si="15"/>
        <v>#REF!</v>
      </c>
      <c r="E97" s="218" t="e">
        <f t="shared" si="15"/>
        <v>#REF!</v>
      </c>
      <c r="F97" s="218" t="e">
        <f t="shared" si="15"/>
        <v>#REF!</v>
      </c>
      <c r="G97" s="218" t="e">
        <f t="shared" si="15"/>
        <v>#REF!</v>
      </c>
      <c r="H97" s="218" t="e">
        <f t="shared" si="15"/>
        <v>#REF!</v>
      </c>
      <c r="J97" s="13"/>
      <c r="K97" s="13"/>
      <c r="L97" s="13"/>
    </row>
    <row r="98" spans="1:12">
      <c r="A98" s="63" t="e">
        <f t="shared" si="14"/>
        <v>#REF!</v>
      </c>
      <c r="B98" s="218" t="e">
        <f t="shared" si="15"/>
        <v>#REF!</v>
      </c>
      <c r="C98" s="218" t="e">
        <f t="shared" si="15"/>
        <v>#REF!</v>
      </c>
      <c r="D98" s="218" t="e">
        <f t="shared" si="15"/>
        <v>#REF!</v>
      </c>
      <c r="E98" s="218" t="e">
        <f t="shared" si="15"/>
        <v>#REF!</v>
      </c>
      <c r="F98" s="218" t="e">
        <f t="shared" si="15"/>
        <v>#REF!</v>
      </c>
      <c r="G98" s="218" t="e">
        <f t="shared" si="15"/>
        <v>#REF!</v>
      </c>
      <c r="H98" s="218" t="e">
        <f t="shared" si="15"/>
        <v>#REF!</v>
      </c>
      <c r="J98" s="13"/>
      <c r="K98" s="13"/>
      <c r="L98" s="13"/>
    </row>
    <row r="99" spans="1:12">
      <c r="A99" s="63" t="e">
        <f t="shared" si="14"/>
        <v>#REF!</v>
      </c>
      <c r="B99" s="218" t="e">
        <f t="shared" si="15"/>
        <v>#REF!</v>
      </c>
      <c r="C99" s="218" t="e">
        <f t="shared" si="15"/>
        <v>#REF!</v>
      </c>
      <c r="D99" s="218" t="e">
        <f t="shared" si="15"/>
        <v>#REF!</v>
      </c>
      <c r="E99" s="218" t="e">
        <f t="shared" si="15"/>
        <v>#REF!</v>
      </c>
      <c r="F99" s="218" t="e">
        <f t="shared" si="15"/>
        <v>#REF!</v>
      </c>
      <c r="G99" s="218" t="e">
        <f t="shared" si="15"/>
        <v>#REF!</v>
      </c>
      <c r="H99" s="218" t="e">
        <f t="shared" si="15"/>
        <v>#REF!</v>
      </c>
      <c r="J99" s="13"/>
      <c r="K99" s="13"/>
      <c r="L99" s="13"/>
    </row>
    <row r="100" spans="1:12">
      <c r="A100" s="63" t="e">
        <f t="shared" si="14"/>
        <v>#REF!</v>
      </c>
      <c r="B100" s="218" t="e">
        <f t="shared" si="15"/>
        <v>#REF!</v>
      </c>
      <c r="C100" s="218" t="e">
        <f t="shared" si="15"/>
        <v>#REF!</v>
      </c>
      <c r="D100" s="218" t="e">
        <f t="shared" si="15"/>
        <v>#REF!</v>
      </c>
      <c r="E100" s="218" t="e">
        <f t="shared" si="15"/>
        <v>#REF!</v>
      </c>
      <c r="F100" s="218" t="e">
        <f t="shared" si="15"/>
        <v>#REF!</v>
      </c>
      <c r="G100" s="218" t="e">
        <f t="shared" si="15"/>
        <v>#REF!</v>
      </c>
      <c r="H100" s="218" t="e">
        <f t="shared" si="15"/>
        <v>#REF!</v>
      </c>
      <c r="J100" s="13"/>
      <c r="K100" s="13"/>
      <c r="L100" s="13"/>
    </row>
    <row r="101" spans="1:12">
      <c r="A101" s="63" t="e">
        <f t="shared" si="14"/>
        <v>#REF!</v>
      </c>
      <c r="B101" s="218" t="e">
        <f t="shared" si="15"/>
        <v>#REF!</v>
      </c>
      <c r="C101" s="218" t="e">
        <f t="shared" si="15"/>
        <v>#REF!</v>
      </c>
      <c r="D101" s="218" t="e">
        <f t="shared" si="15"/>
        <v>#REF!</v>
      </c>
      <c r="E101" s="218" t="e">
        <f t="shared" si="15"/>
        <v>#REF!</v>
      </c>
      <c r="F101" s="218" t="e">
        <f t="shared" si="15"/>
        <v>#REF!</v>
      </c>
      <c r="G101" s="218" t="e">
        <f t="shared" si="15"/>
        <v>#REF!</v>
      </c>
      <c r="H101" s="218" t="e">
        <f t="shared" si="15"/>
        <v>#REF!</v>
      </c>
      <c r="J101" s="13"/>
      <c r="K101" s="13"/>
      <c r="L101" s="13"/>
    </row>
    <row r="102" spans="1:12">
      <c r="A102" s="63" t="e">
        <f t="shared" si="14"/>
        <v>#REF!</v>
      </c>
      <c r="B102" s="218" t="e">
        <f t="shared" ref="B102:H109" si="16">B45</f>
        <v>#REF!</v>
      </c>
      <c r="C102" s="218" t="e">
        <f t="shared" si="16"/>
        <v>#REF!</v>
      </c>
      <c r="D102" s="218" t="e">
        <f t="shared" si="16"/>
        <v>#REF!</v>
      </c>
      <c r="E102" s="218" t="e">
        <f t="shared" si="16"/>
        <v>#REF!</v>
      </c>
      <c r="F102" s="218" t="e">
        <f t="shared" si="16"/>
        <v>#REF!</v>
      </c>
      <c r="G102" s="218" t="e">
        <f t="shared" si="16"/>
        <v>#REF!</v>
      </c>
      <c r="H102" s="218" t="e">
        <f t="shared" si="16"/>
        <v>#REF!</v>
      </c>
      <c r="J102" s="13"/>
      <c r="K102" s="13"/>
      <c r="L102" s="13"/>
    </row>
    <row r="103" spans="1:12">
      <c r="A103" s="63" t="e">
        <f t="shared" si="14"/>
        <v>#REF!</v>
      </c>
      <c r="B103" s="218" t="e">
        <f t="shared" si="16"/>
        <v>#REF!</v>
      </c>
      <c r="C103" s="218" t="e">
        <f t="shared" si="16"/>
        <v>#REF!</v>
      </c>
      <c r="D103" s="218" t="e">
        <f t="shared" si="16"/>
        <v>#REF!</v>
      </c>
      <c r="E103" s="218" t="e">
        <f t="shared" si="16"/>
        <v>#REF!</v>
      </c>
      <c r="F103" s="218" t="e">
        <f t="shared" si="16"/>
        <v>#REF!</v>
      </c>
      <c r="G103" s="218" t="e">
        <f t="shared" si="16"/>
        <v>#REF!</v>
      </c>
      <c r="H103" s="218" t="e">
        <f t="shared" si="16"/>
        <v>#REF!</v>
      </c>
      <c r="J103" s="13"/>
      <c r="K103" s="13"/>
      <c r="L103" s="13"/>
    </row>
    <row r="104" spans="1:12">
      <c r="A104" s="63" t="e">
        <f t="shared" si="14"/>
        <v>#REF!</v>
      </c>
      <c r="B104" s="218" t="e">
        <f t="shared" si="16"/>
        <v>#REF!</v>
      </c>
      <c r="C104" s="218" t="e">
        <f t="shared" si="16"/>
        <v>#REF!</v>
      </c>
      <c r="D104" s="218" t="e">
        <f t="shared" si="16"/>
        <v>#REF!</v>
      </c>
      <c r="E104" s="218" t="e">
        <f t="shared" si="16"/>
        <v>#REF!</v>
      </c>
      <c r="F104" s="218" t="e">
        <f t="shared" si="16"/>
        <v>#REF!</v>
      </c>
      <c r="G104" s="218" t="e">
        <f t="shared" si="16"/>
        <v>#REF!</v>
      </c>
      <c r="H104" s="218" t="e">
        <f t="shared" si="16"/>
        <v>#REF!</v>
      </c>
      <c r="J104" s="13"/>
      <c r="K104" s="13"/>
      <c r="L104" s="13"/>
    </row>
    <row r="105" spans="1:12">
      <c r="A105" s="63" t="e">
        <f t="shared" si="14"/>
        <v>#REF!</v>
      </c>
      <c r="B105" s="218" t="e">
        <f t="shared" si="16"/>
        <v>#REF!</v>
      </c>
      <c r="C105" s="218" t="e">
        <f t="shared" si="16"/>
        <v>#REF!</v>
      </c>
      <c r="D105" s="218" t="e">
        <f t="shared" si="16"/>
        <v>#REF!</v>
      </c>
      <c r="E105" s="218" t="e">
        <f t="shared" si="16"/>
        <v>#REF!</v>
      </c>
      <c r="F105" s="218" t="e">
        <f t="shared" si="16"/>
        <v>#REF!</v>
      </c>
      <c r="G105" s="218" t="e">
        <f t="shared" si="16"/>
        <v>#REF!</v>
      </c>
      <c r="H105" s="218" t="e">
        <f t="shared" si="16"/>
        <v>#REF!</v>
      </c>
      <c r="J105" s="13"/>
      <c r="K105" s="13"/>
      <c r="L105" s="13"/>
    </row>
    <row r="106" spans="1:12">
      <c r="A106" s="63" t="e">
        <f t="shared" si="14"/>
        <v>#REF!</v>
      </c>
      <c r="B106" s="218" t="e">
        <f t="shared" si="16"/>
        <v>#REF!</v>
      </c>
      <c r="C106" s="218" t="e">
        <f t="shared" si="16"/>
        <v>#REF!</v>
      </c>
      <c r="D106" s="218" t="e">
        <f t="shared" si="16"/>
        <v>#REF!</v>
      </c>
      <c r="E106" s="218" t="e">
        <f t="shared" si="16"/>
        <v>#REF!</v>
      </c>
      <c r="F106" s="218" t="e">
        <f t="shared" si="16"/>
        <v>#REF!</v>
      </c>
      <c r="G106" s="218" t="e">
        <f t="shared" si="16"/>
        <v>#REF!</v>
      </c>
      <c r="H106" s="218" t="e">
        <f t="shared" si="16"/>
        <v>#REF!</v>
      </c>
      <c r="J106" s="13"/>
      <c r="K106" s="13"/>
      <c r="L106" s="13"/>
    </row>
    <row r="107" spans="1:12">
      <c r="A107" s="63" t="e">
        <f t="shared" si="14"/>
        <v>#REF!</v>
      </c>
      <c r="B107" s="218" t="e">
        <f t="shared" si="16"/>
        <v>#REF!</v>
      </c>
      <c r="C107" s="218" t="e">
        <f t="shared" si="16"/>
        <v>#REF!</v>
      </c>
      <c r="D107" s="218" t="e">
        <f t="shared" si="16"/>
        <v>#REF!</v>
      </c>
      <c r="E107" s="218" t="e">
        <f t="shared" si="16"/>
        <v>#REF!</v>
      </c>
      <c r="F107" s="218" t="e">
        <f t="shared" si="16"/>
        <v>#REF!</v>
      </c>
      <c r="G107" s="218" t="e">
        <f t="shared" si="16"/>
        <v>#REF!</v>
      </c>
      <c r="H107" s="218" t="e">
        <f t="shared" si="16"/>
        <v>#REF!</v>
      </c>
      <c r="J107" s="13"/>
      <c r="K107" s="13"/>
      <c r="L107" s="13"/>
    </row>
    <row r="108" spans="1:12">
      <c r="A108" s="63" t="e">
        <f t="shared" si="14"/>
        <v>#REF!</v>
      </c>
      <c r="B108" s="218" t="e">
        <f t="shared" si="16"/>
        <v>#REF!</v>
      </c>
      <c r="C108" s="218" t="e">
        <f t="shared" si="16"/>
        <v>#REF!</v>
      </c>
      <c r="D108" s="218" t="e">
        <f t="shared" si="16"/>
        <v>#REF!</v>
      </c>
      <c r="E108" s="218" t="e">
        <f t="shared" si="16"/>
        <v>#REF!</v>
      </c>
      <c r="F108" s="218" t="e">
        <f t="shared" si="16"/>
        <v>#REF!</v>
      </c>
      <c r="G108" s="218" t="e">
        <f t="shared" si="16"/>
        <v>#REF!</v>
      </c>
      <c r="H108" s="218" t="e">
        <f t="shared" si="16"/>
        <v>#REF!</v>
      </c>
      <c r="J108" s="13"/>
      <c r="K108" s="13"/>
      <c r="L108" s="13"/>
    </row>
    <row r="109" spans="1:12">
      <c r="A109" s="63" t="e">
        <f t="shared" si="14"/>
        <v>#REF!</v>
      </c>
      <c r="B109" s="218" t="e">
        <f t="shared" si="16"/>
        <v>#REF!</v>
      </c>
      <c r="C109" s="218" t="e">
        <f t="shared" si="16"/>
        <v>#REF!</v>
      </c>
      <c r="D109" s="218" t="e">
        <f t="shared" si="16"/>
        <v>#REF!</v>
      </c>
      <c r="E109" s="218" t="e">
        <f t="shared" si="16"/>
        <v>#REF!</v>
      </c>
      <c r="F109" s="218" t="e">
        <f t="shared" si="16"/>
        <v>#REF!</v>
      </c>
      <c r="G109" s="218" t="e">
        <f t="shared" si="16"/>
        <v>#REF!</v>
      </c>
      <c r="H109" s="218" t="e">
        <f t="shared" si="16"/>
        <v>#REF!</v>
      </c>
      <c r="J109" s="13"/>
      <c r="K109" s="13"/>
      <c r="L109" s="13"/>
    </row>
    <row r="110" spans="1:12">
      <c r="A110" s="63" t="e">
        <f t="shared" ref="A110:A113" si="17">A53</f>
        <v>#REF!</v>
      </c>
      <c r="B110" s="218"/>
      <c r="C110" s="218"/>
      <c r="D110" s="218"/>
      <c r="E110" s="218"/>
      <c r="F110" s="218"/>
      <c r="G110" s="218"/>
      <c r="H110" s="218"/>
      <c r="J110" s="13"/>
      <c r="K110" s="13"/>
      <c r="L110" s="13"/>
    </row>
    <row r="111" spans="1:12">
      <c r="A111" s="63" t="e">
        <f t="shared" si="17"/>
        <v>#REF!</v>
      </c>
      <c r="B111" s="218"/>
      <c r="C111" s="218"/>
      <c r="D111" s="218"/>
      <c r="E111" s="218"/>
      <c r="F111" s="218"/>
      <c r="G111" s="218"/>
      <c r="H111" s="218"/>
      <c r="J111" s="13"/>
      <c r="K111" s="13"/>
      <c r="L111" s="13"/>
    </row>
    <row r="112" spans="1:12">
      <c r="A112" s="63" t="e">
        <f t="shared" si="17"/>
        <v>#REF!</v>
      </c>
      <c r="B112" s="218"/>
      <c r="C112" s="218"/>
      <c r="D112" s="218"/>
      <c r="E112" s="218"/>
      <c r="F112" s="218"/>
      <c r="G112" s="218"/>
      <c r="H112" s="218"/>
      <c r="J112" s="13"/>
      <c r="K112" s="13"/>
      <c r="L112" s="13"/>
    </row>
    <row r="113" spans="1:12">
      <c r="A113" s="63" t="e">
        <f t="shared" si="17"/>
        <v>#REF!</v>
      </c>
      <c r="B113" s="218" t="e">
        <f t="shared" ref="B113:H116" si="18">B56</f>
        <v>#REF!</v>
      </c>
      <c r="C113" s="218" t="e">
        <f t="shared" si="18"/>
        <v>#REF!</v>
      </c>
      <c r="D113" s="218" t="e">
        <f t="shared" si="18"/>
        <v>#REF!</v>
      </c>
      <c r="E113" s="218" t="e">
        <f t="shared" si="18"/>
        <v>#REF!</v>
      </c>
      <c r="F113" s="218" t="e">
        <f t="shared" si="18"/>
        <v>#REF!</v>
      </c>
      <c r="G113" s="218" t="e">
        <f t="shared" si="18"/>
        <v>#REF!</v>
      </c>
      <c r="H113" s="218" t="e">
        <f t="shared" si="18"/>
        <v>#REF!</v>
      </c>
      <c r="J113" s="13"/>
      <c r="K113" s="13"/>
      <c r="L113" s="13"/>
    </row>
    <row r="114" spans="1:12">
      <c r="A114" s="63" t="e">
        <f>A57</f>
        <v>#REF!</v>
      </c>
      <c r="B114" s="218" t="e">
        <f t="shared" si="18"/>
        <v>#REF!</v>
      </c>
      <c r="C114" s="218" t="e">
        <f t="shared" si="18"/>
        <v>#REF!</v>
      </c>
      <c r="D114" s="218" t="e">
        <f t="shared" si="18"/>
        <v>#REF!</v>
      </c>
      <c r="E114" s="218" t="e">
        <f t="shared" si="18"/>
        <v>#REF!</v>
      </c>
      <c r="F114" s="218" t="e">
        <f t="shared" si="18"/>
        <v>#REF!</v>
      </c>
      <c r="G114" s="218" t="e">
        <f t="shared" si="18"/>
        <v>#REF!</v>
      </c>
      <c r="H114" s="218" t="e">
        <f t="shared" si="18"/>
        <v>#REF!</v>
      </c>
      <c r="J114" s="13"/>
      <c r="K114" s="13"/>
      <c r="L114" s="13"/>
    </row>
    <row r="115" spans="1:12">
      <c r="A115" s="63" t="e">
        <f>A58</f>
        <v>#REF!</v>
      </c>
      <c r="B115" s="218" t="e">
        <f t="shared" si="18"/>
        <v>#REF!</v>
      </c>
      <c r="C115" s="218" t="e">
        <f t="shared" si="18"/>
        <v>#REF!</v>
      </c>
      <c r="D115" s="218" t="e">
        <f t="shared" si="18"/>
        <v>#REF!</v>
      </c>
      <c r="E115" s="218" t="e">
        <f t="shared" si="18"/>
        <v>#REF!</v>
      </c>
      <c r="F115" s="218" t="e">
        <f t="shared" si="18"/>
        <v>#REF!</v>
      </c>
      <c r="G115" s="218" t="e">
        <f t="shared" si="18"/>
        <v>#REF!</v>
      </c>
      <c r="H115" s="218" t="e">
        <f t="shared" si="18"/>
        <v>#REF!</v>
      </c>
      <c r="J115" s="13"/>
      <c r="K115" s="13"/>
      <c r="L115" s="13"/>
    </row>
    <row r="116" spans="1:12">
      <c r="A116" s="63" t="e">
        <f>A59</f>
        <v>#REF!</v>
      </c>
      <c r="B116" s="218" t="e">
        <f t="shared" si="18"/>
        <v>#REF!</v>
      </c>
      <c r="C116" s="218" t="e">
        <f t="shared" si="18"/>
        <v>#REF!</v>
      </c>
      <c r="D116" s="218" t="e">
        <f t="shared" si="18"/>
        <v>#REF!</v>
      </c>
      <c r="E116" s="218" t="e">
        <f t="shared" si="18"/>
        <v>#REF!</v>
      </c>
      <c r="F116" s="218" t="e">
        <f t="shared" si="18"/>
        <v>#REF!</v>
      </c>
      <c r="G116" s="218" t="e">
        <f t="shared" si="18"/>
        <v>#REF!</v>
      </c>
      <c r="H116" s="218" t="e">
        <f t="shared" si="18"/>
        <v>#REF!</v>
      </c>
      <c r="J116" s="13"/>
      <c r="K116" s="13"/>
      <c r="L116" s="13"/>
    </row>
    <row r="117" spans="1:12">
      <c r="A117" s="63"/>
      <c r="B117" s="218"/>
      <c r="C117" s="218"/>
      <c r="D117" s="218"/>
      <c r="E117" s="218"/>
      <c r="F117" s="218"/>
      <c r="G117" s="218"/>
      <c r="H117" s="218"/>
      <c r="J117" s="13"/>
      <c r="K117" s="13"/>
      <c r="L117" s="13"/>
    </row>
    <row r="118" spans="1:12">
      <c r="A118" s="63"/>
      <c r="B118" s="218"/>
      <c r="C118" s="218"/>
      <c r="D118" s="218"/>
      <c r="E118" s="218"/>
      <c r="F118" s="218"/>
      <c r="G118" s="218"/>
      <c r="H118" s="218"/>
      <c r="J118" s="13"/>
      <c r="K118" s="13"/>
      <c r="L118" s="13"/>
    </row>
    <row r="119" spans="1:12">
      <c r="A119" s="65" t="s">
        <v>135</v>
      </c>
      <c r="B119" s="63"/>
      <c r="C119" s="63"/>
      <c r="D119" s="63"/>
      <c r="E119" s="63"/>
      <c r="F119" s="63"/>
      <c r="G119" s="63"/>
      <c r="H119" s="63"/>
    </row>
    <row r="120" spans="1:12">
      <c r="A120" s="63" t="str">
        <f t="shared" ref="A120:A141" si="19">A68</f>
        <v>Soybean</v>
      </c>
      <c r="B120" s="130">
        <f t="shared" ref="B120:H129" si="20">B68-(B68*$G$6)</f>
        <v>0</v>
      </c>
      <c r="C120" s="130">
        <f t="shared" si="20"/>
        <v>0</v>
      </c>
      <c r="D120" s="130">
        <f t="shared" si="20"/>
        <v>0</v>
      </c>
      <c r="E120" s="130">
        <f t="shared" si="20"/>
        <v>0</v>
      </c>
      <c r="F120" s="130">
        <f t="shared" si="20"/>
        <v>0</v>
      </c>
      <c r="G120" s="130">
        <f t="shared" si="20"/>
        <v>0</v>
      </c>
      <c r="H120" s="130">
        <f t="shared" si="20"/>
        <v>0</v>
      </c>
    </row>
    <row r="121" spans="1:12">
      <c r="A121" s="63" t="str">
        <f t="shared" si="19"/>
        <v>Red Gram/Tur</v>
      </c>
      <c r="B121" s="130">
        <f t="shared" si="20"/>
        <v>0</v>
      </c>
      <c r="C121" s="130">
        <f t="shared" si="20"/>
        <v>0</v>
      </c>
      <c r="D121" s="130">
        <f t="shared" si="20"/>
        <v>0</v>
      </c>
      <c r="E121" s="130">
        <f t="shared" si="20"/>
        <v>0</v>
      </c>
      <c r="F121" s="130">
        <f t="shared" si="20"/>
        <v>0</v>
      </c>
      <c r="G121" s="130">
        <f t="shared" si="20"/>
        <v>0</v>
      </c>
      <c r="H121" s="130">
        <f t="shared" si="20"/>
        <v>0</v>
      </c>
    </row>
    <row r="122" spans="1:12">
      <c r="A122" s="63" t="str">
        <f t="shared" si="19"/>
        <v>Paddy/Rice</v>
      </c>
      <c r="B122" s="130">
        <f t="shared" si="20"/>
        <v>977.75999999999988</v>
      </c>
      <c r="C122" s="130">
        <f t="shared" si="20"/>
        <v>977.75999999999988</v>
      </c>
      <c r="D122" s="130">
        <f t="shared" si="20"/>
        <v>977.75999999999988</v>
      </c>
      <c r="E122" s="130">
        <f t="shared" si="20"/>
        <v>977.75999999999988</v>
      </c>
      <c r="F122" s="130">
        <f t="shared" si="20"/>
        <v>977.75999999999988</v>
      </c>
      <c r="G122" s="130">
        <f t="shared" si="20"/>
        <v>1047.5999999999999</v>
      </c>
      <c r="H122" s="130">
        <f t="shared" si="20"/>
        <v>1117.44</v>
      </c>
    </row>
    <row r="123" spans="1:12">
      <c r="A123" s="63" t="str">
        <f t="shared" si="19"/>
        <v>Green Gram/ Moong</v>
      </c>
      <c r="B123" s="130">
        <f t="shared" si="20"/>
        <v>0</v>
      </c>
      <c r="C123" s="130">
        <f t="shared" si="20"/>
        <v>0</v>
      </c>
      <c r="D123" s="130">
        <f t="shared" si="20"/>
        <v>0</v>
      </c>
      <c r="E123" s="130">
        <f t="shared" si="20"/>
        <v>0</v>
      </c>
      <c r="F123" s="130">
        <f t="shared" si="20"/>
        <v>0</v>
      </c>
      <c r="G123" s="130">
        <f t="shared" si="20"/>
        <v>0</v>
      </c>
      <c r="H123" s="130">
        <f t="shared" si="20"/>
        <v>0</v>
      </c>
    </row>
    <row r="124" spans="1:12">
      <c r="A124" s="63" t="str">
        <f t="shared" si="19"/>
        <v>Maize</v>
      </c>
      <c r="B124" s="130">
        <f t="shared" si="20"/>
        <v>0</v>
      </c>
      <c r="C124" s="130">
        <f t="shared" si="20"/>
        <v>0</v>
      </c>
      <c r="D124" s="130">
        <f t="shared" si="20"/>
        <v>0</v>
      </c>
      <c r="E124" s="130">
        <f t="shared" si="20"/>
        <v>0</v>
      </c>
      <c r="F124" s="130">
        <f t="shared" si="20"/>
        <v>0</v>
      </c>
      <c r="G124" s="130">
        <f t="shared" si="20"/>
        <v>0</v>
      </c>
      <c r="H124" s="130">
        <f t="shared" si="20"/>
        <v>0</v>
      </c>
    </row>
    <row r="125" spans="1:12">
      <c r="A125" s="63" t="str">
        <f t="shared" si="19"/>
        <v>Black Gram/Udid</v>
      </c>
      <c r="B125" s="130">
        <f t="shared" si="20"/>
        <v>0</v>
      </c>
      <c r="C125" s="130">
        <f t="shared" si="20"/>
        <v>0</v>
      </c>
      <c r="D125" s="130">
        <f t="shared" si="20"/>
        <v>0</v>
      </c>
      <c r="E125" s="130">
        <f t="shared" si="20"/>
        <v>0</v>
      </c>
      <c r="F125" s="130">
        <f t="shared" si="20"/>
        <v>0</v>
      </c>
      <c r="G125" s="130">
        <f t="shared" si="20"/>
        <v>0</v>
      </c>
      <c r="H125" s="130">
        <f t="shared" si="20"/>
        <v>0</v>
      </c>
    </row>
    <row r="126" spans="1:12">
      <c r="A126" s="63" t="str">
        <f t="shared" si="19"/>
        <v>Bajra</v>
      </c>
      <c r="B126" s="130">
        <f t="shared" si="20"/>
        <v>0</v>
      </c>
      <c r="C126" s="130">
        <f t="shared" si="20"/>
        <v>0</v>
      </c>
      <c r="D126" s="130">
        <f t="shared" si="20"/>
        <v>0</v>
      </c>
      <c r="E126" s="130">
        <f t="shared" si="20"/>
        <v>0</v>
      </c>
      <c r="F126" s="130">
        <f t="shared" si="20"/>
        <v>0</v>
      </c>
      <c r="G126" s="130">
        <f t="shared" si="20"/>
        <v>0</v>
      </c>
      <c r="H126" s="130">
        <f t="shared" si="20"/>
        <v>0</v>
      </c>
    </row>
    <row r="127" spans="1:12">
      <c r="A127" s="63" t="str">
        <f t="shared" si="19"/>
        <v>Jawar</v>
      </c>
      <c r="B127" s="130">
        <f t="shared" si="20"/>
        <v>0</v>
      </c>
      <c r="C127" s="130">
        <f t="shared" si="20"/>
        <v>0</v>
      </c>
      <c r="D127" s="130">
        <f t="shared" si="20"/>
        <v>0</v>
      </c>
      <c r="E127" s="130">
        <f t="shared" si="20"/>
        <v>0</v>
      </c>
      <c r="F127" s="130">
        <f t="shared" si="20"/>
        <v>0</v>
      </c>
      <c r="G127" s="130">
        <f t="shared" si="20"/>
        <v>0</v>
      </c>
      <c r="H127" s="130">
        <f t="shared" si="20"/>
        <v>0</v>
      </c>
    </row>
    <row r="128" spans="1:12">
      <c r="A128" s="63" t="str">
        <f t="shared" si="19"/>
        <v>Sunflower</v>
      </c>
      <c r="B128" s="130">
        <f t="shared" si="20"/>
        <v>0</v>
      </c>
      <c r="C128" s="130">
        <f t="shared" si="20"/>
        <v>0</v>
      </c>
      <c r="D128" s="130">
        <f t="shared" si="20"/>
        <v>0</v>
      </c>
      <c r="E128" s="130">
        <f t="shared" si="20"/>
        <v>0</v>
      </c>
      <c r="F128" s="130">
        <f t="shared" si="20"/>
        <v>0</v>
      </c>
      <c r="G128" s="130">
        <f t="shared" si="20"/>
        <v>0</v>
      </c>
      <c r="H128" s="130">
        <f t="shared" si="20"/>
        <v>0</v>
      </c>
    </row>
    <row r="129" spans="1:8">
      <c r="A129" s="63">
        <f t="shared" si="19"/>
        <v>0</v>
      </c>
      <c r="B129" s="130">
        <f t="shared" si="20"/>
        <v>0</v>
      </c>
      <c r="C129" s="130">
        <f t="shared" si="20"/>
        <v>0</v>
      </c>
      <c r="D129" s="130">
        <f t="shared" si="20"/>
        <v>0</v>
      </c>
      <c r="E129" s="130">
        <f t="shared" si="20"/>
        <v>0</v>
      </c>
      <c r="F129" s="130">
        <f t="shared" si="20"/>
        <v>0</v>
      </c>
      <c r="G129" s="130">
        <f t="shared" si="20"/>
        <v>0</v>
      </c>
      <c r="H129" s="130">
        <f t="shared" si="20"/>
        <v>0</v>
      </c>
    </row>
    <row r="130" spans="1:8">
      <c r="A130" s="63">
        <f t="shared" si="19"/>
        <v>0</v>
      </c>
      <c r="B130" s="130">
        <f t="shared" ref="B130:H139" si="21">B78-(B78*$G$6)</f>
        <v>0</v>
      </c>
      <c r="C130" s="130">
        <f t="shared" si="21"/>
        <v>0</v>
      </c>
      <c r="D130" s="130">
        <f t="shared" si="21"/>
        <v>0</v>
      </c>
      <c r="E130" s="130">
        <f t="shared" si="21"/>
        <v>0</v>
      </c>
      <c r="F130" s="130">
        <f t="shared" si="21"/>
        <v>0</v>
      </c>
      <c r="G130" s="130">
        <f t="shared" si="21"/>
        <v>0</v>
      </c>
      <c r="H130" s="130">
        <f t="shared" si="21"/>
        <v>0</v>
      </c>
    </row>
    <row r="131" spans="1:8">
      <c r="A131" s="63">
        <f t="shared" si="19"/>
        <v>0</v>
      </c>
      <c r="B131" s="130">
        <f t="shared" si="21"/>
        <v>0</v>
      </c>
      <c r="C131" s="130">
        <f t="shared" si="21"/>
        <v>0</v>
      </c>
      <c r="D131" s="130">
        <f t="shared" si="21"/>
        <v>0</v>
      </c>
      <c r="E131" s="130">
        <f t="shared" si="21"/>
        <v>0</v>
      </c>
      <c r="F131" s="130">
        <f t="shared" si="21"/>
        <v>0</v>
      </c>
      <c r="G131" s="130">
        <f t="shared" si="21"/>
        <v>0</v>
      </c>
      <c r="H131" s="130">
        <f t="shared" si="21"/>
        <v>0</v>
      </c>
    </row>
    <row r="132" spans="1:8">
      <c r="A132" s="63">
        <f t="shared" si="19"/>
        <v>0</v>
      </c>
      <c r="B132" s="130">
        <f t="shared" si="21"/>
        <v>0</v>
      </c>
      <c r="C132" s="130">
        <f t="shared" si="21"/>
        <v>0</v>
      </c>
      <c r="D132" s="130">
        <f t="shared" si="21"/>
        <v>0</v>
      </c>
      <c r="E132" s="130">
        <f t="shared" si="21"/>
        <v>0</v>
      </c>
      <c r="F132" s="130">
        <f t="shared" si="21"/>
        <v>0</v>
      </c>
      <c r="G132" s="130">
        <f t="shared" si="21"/>
        <v>0</v>
      </c>
      <c r="H132" s="130">
        <f t="shared" si="21"/>
        <v>0</v>
      </c>
    </row>
    <row r="133" spans="1:8">
      <c r="A133" s="63">
        <f t="shared" si="19"/>
        <v>0</v>
      </c>
      <c r="B133" s="130">
        <f t="shared" si="21"/>
        <v>0</v>
      </c>
      <c r="C133" s="130">
        <f t="shared" si="21"/>
        <v>0</v>
      </c>
      <c r="D133" s="130">
        <f t="shared" si="21"/>
        <v>0</v>
      </c>
      <c r="E133" s="130">
        <f t="shared" si="21"/>
        <v>0</v>
      </c>
      <c r="F133" s="130">
        <f t="shared" si="21"/>
        <v>0</v>
      </c>
      <c r="G133" s="130">
        <f t="shared" si="21"/>
        <v>0</v>
      </c>
      <c r="H133" s="130">
        <f t="shared" si="21"/>
        <v>0</v>
      </c>
    </row>
    <row r="134" spans="1:8">
      <c r="A134" s="63">
        <f t="shared" si="19"/>
        <v>0</v>
      </c>
      <c r="B134" s="130">
        <f t="shared" si="21"/>
        <v>0</v>
      </c>
      <c r="C134" s="130">
        <f t="shared" si="21"/>
        <v>0</v>
      </c>
      <c r="D134" s="130">
        <f t="shared" si="21"/>
        <v>0</v>
      </c>
      <c r="E134" s="130">
        <f t="shared" si="21"/>
        <v>0</v>
      </c>
      <c r="F134" s="130">
        <f t="shared" si="21"/>
        <v>0</v>
      </c>
      <c r="G134" s="130">
        <f t="shared" si="21"/>
        <v>0</v>
      </c>
      <c r="H134" s="130">
        <f t="shared" si="21"/>
        <v>0</v>
      </c>
    </row>
    <row r="135" spans="1:8">
      <c r="A135" s="63">
        <f t="shared" si="19"/>
        <v>0</v>
      </c>
      <c r="B135" s="130">
        <f t="shared" si="21"/>
        <v>0</v>
      </c>
      <c r="C135" s="130">
        <f t="shared" si="21"/>
        <v>0</v>
      </c>
      <c r="D135" s="130">
        <f t="shared" si="21"/>
        <v>0</v>
      </c>
      <c r="E135" s="130">
        <f t="shared" si="21"/>
        <v>0</v>
      </c>
      <c r="F135" s="130">
        <f t="shared" si="21"/>
        <v>0</v>
      </c>
      <c r="G135" s="130">
        <f t="shared" si="21"/>
        <v>0</v>
      </c>
      <c r="H135" s="130">
        <f t="shared" si="21"/>
        <v>0</v>
      </c>
    </row>
    <row r="136" spans="1:8">
      <c r="A136" s="63">
        <f t="shared" si="19"/>
        <v>0</v>
      </c>
      <c r="B136" s="130">
        <f t="shared" si="21"/>
        <v>0</v>
      </c>
      <c r="C136" s="130">
        <f t="shared" si="21"/>
        <v>0</v>
      </c>
      <c r="D136" s="130">
        <f t="shared" si="21"/>
        <v>0</v>
      </c>
      <c r="E136" s="130">
        <f t="shared" si="21"/>
        <v>0</v>
      </c>
      <c r="F136" s="130">
        <f t="shared" si="21"/>
        <v>0</v>
      </c>
      <c r="G136" s="130">
        <f t="shared" si="21"/>
        <v>0</v>
      </c>
      <c r="H136" s="130">
        <f t="shared" si="21"/>
        <v>0</v>
      </c>
    </row>
    <row r="137" spans="1:8">
      <c r="A137" s="63" t="str">
        <f t="shared" si="19"/>
        <v>Groundnut</v>
      </c>
      <c r="B137" s="130">
        <f t="shared" si="21"/>
        <v>0</v>
      </c>
      <c r="C137" s="130">
        <f t="shared" si="21"/>
        <v>0</v>
      </c>
      <c r="D137" s="130">
        <f t="shared" si="21"/>
        <v>0</v>
      </c>
      <c r="E137" s="130">
        <f t="shared" si="21"/>
        <v>0</v>
      </c>
      <c r="F137" s="130">
        <f t="shared" si="21"/>
        <v>0</v>
      </c>
      <c r="G137" s="130">
        <f t="shared" si="21"/>
        <v>0</v>
      </c>
      <c r="H137" s="130">
        <f t="shared" si="21"/>
        <v>0</v>
      </c>
    </row>
    <row r="138" spans="1:8">
      <c r="A138" s="63">
        <f t="shared" si="19"/>
        <v>0</v>
      </c>
      <c r="B138" s="130">
        <f t="shared" si="21"/>
        <v>0</v>
      </c>
      <c r="C138" s="130">
        <f t="shared" si="21"/>
        <v>0</v>
      </c>
      <c r="D138" s="130">
        <f t="shared" si="21"/>
        <v>0</v>
      </c>
      <c r="E138" s="130">
        <f t="shared" si="21"/>
        <v>0</v>
      </c>
      <c r="F138" s="130">
        <f t="shared" si="21"/>
        <v>0</v>
      </c>
      <c r="G138" s="130">
        <f t="shared" si="21"/>
        <v>0</v>
      </c>
      <c r="H138" s="130">
        <f t="shared" si="21"/>
        <v>0</v>
      </c>
    </row>
    <row r="139" spans="1:8">
      <c r="A139" s="63">
        <f t="shared" si="19"/>
        <v>0</v>
      </c>
      <c r="B139" s="130">
        <f t="shared" si="21"/>
        <v>0</v>
      </c>
      <c r="C139" s="130">
        <f t="shared" si="21"/>
        <v>0</v>
      </c>
      <c r="D139" s="130">
        <f t="shared" si="21"/>
        <v>0</v>
      </c>
      <c r="E139" s="130">
        <f t="shared" si="21"/>
        <v>0</v>
      </c>
      <c r="F139" s="130">
        <f t="shared" si="21"/>
        <v>0</v>
      </c>
      <c r="G139" s="130">
        <f t="shared" si="21"/>
        <v>0</v>
      </c>
      <c r="H139" s="130">
        <f t="shared" si="21"/>
        <v>0</v>
      </c>
    </row>
    <row r="140" spans="1:8">
      <c r="A140" s="63">
        <f t="shared" si="19"/>
        <v>0</v>
      </c>
      <c r="B140" s="130">
        <f t="shared" ref="B140:H141" si="22">B88-(B88*$G$6)</f>
        <v>0</v>
      </c>
      <c r="C140" s="130">
        <f t="shared" si="22"/>
        <v>0</v>
      </c>
      <c r="D140" s="130">
        <f t="shared" si="22"/>
        <v>0</v>
      </c>
      <c r="E140" s="130">
        <f t="shared" si="22"/>
        <v>0</v>
      </c>
      <c r="F140" s="130">
        <f t="shared" si="22"/>
        <v>0</v>
      </c>
      <c r="G140" s="130">
        <f t="shared" si="22"/>
        <v>0</v>
      </c>
      <c r="H140" s="130">
        <f t="shared" si="22"/>
        <v>0</v>
      </c>
    </row>
    <row r="141" spans="1:8">
      <c r="A141" s="63">
        <f t="shared" si="19"/>
        <v>0</v>
      </c>
      <c r="B141" s="130">
        <f t="shared" si="22"/>
        <v>0</v>
      </c>
      <c r="C141" s="130">
        <f t="shared" si="22"/>
        <v>0</v>
      </c>
      <c r="D141" s="130">
        <f t="shared" si="22"/>
        <v>0</v>
      </c>
      <c r="E141" s="130">
        <f t="shared" si="22"/>
        <v>0</v>
      </c>
      <c r="F141" s="130">
        <f t="shared" si="22"/>
        <v>0</v>
      </c>
      <c r="G141" s="130">
        <f t="shared" si="22"/>
        <v>0</v>
      </c>
      <c r="H141" s="130">
        <f t="shared" si="22"/>
        <v>0</v>
      </c>
    </row>
    <row r="142" spans="1:8">
      <c r="A142" s="63"/>
      <c r="B142" s="130"/>
      <c r="C142" s="130"/>
      <c r="D142" s="130"/>
      <c r="E142" s="130"/>
      <c r="F142" s="130"/>
      <c r="G142" s="130"/>
      <c r="H142" s="130"/>
    </row>
    <row r="143" spans="1:8">
      <c r="A143" s="65" t="str">
        <f t="shared" ref="A143:A161" si="23">A91</f>
        <v>Grain Crop Production Details</v>
      </c>
      <c r="B143" s="130"/>
      <c r="C143" s="130"/>
      <c r="D143" s="130"/>
      <c r="E143" s="130"/>
      <c r="F143" s="130"/>
      <c r="G143" s="130"/>
      <c r="H143" s="130"/>
    </row>
    <row r="144" spans="1:8">
      <c r="A144" s="63" t="str">
        <f t="shared" si="23"/>
        <v>Paddy</v>
      </c>
      <c r="B144" s="130">
        <f t="shared" ref="B144:H153" si="24">B92-(B92*$G$7)</f>
        <v>0</v>
      </c>
      <c r="C144" s="130">
        <f t="shared" si="24"/>
        <v>0</v>
      </c>
      <c r="D144" s="130">
        <f t="shared" si="24"/>
        <v>0</v>
      </c>
      <c r="E144" s="130">
        <f t="shared" si="24"/>
        <v>0</v>
      </c>
      <c r="F144" s="130">
        <f t="shared" si="24"/>
        <v>0</v>
      </c>
      <c r="G144" s="130">
        <f t="shared" si="24"/>
        <v>0</v>
      </c>
      <c r="H144" s="130">
        <f t="shared" si="24"/>
        <v>0</v>
      </c>
    </row>
    <row r="145" spans="1:8">
      <c r="A145" s="63" t="e">
        <f t="shared" si="23"/>
        <v>#REF!</v>
      </c>
      <c r="B145" s="130" t="e">
        <f t="shared" si="24"/>
        <v>#REF!</v>
      </c>
      <c r="C145" s="130" t="e">
        <f t="shared" si="24"/>
        <v>#REF!</v>
      </c>
      <c r="D145" s="130" t="e">
        <f t="shared" si="24"/>
        <v>#REF!</v>
      </c>
      <c r="E145" s="130" t="e">
        <f t="shared" si="24"/>
        <v>#REF!</v>
      </c>
      <c r="F145" s="130" t="e">
        <f t="shared" si="24"/>
        <v>#REF!</v>
      </c>
      <c r="G145" s="130" t="e">
        <f t="shared" si="24"/>
        <v>#REF!</v>
      </c>
      <c r="H145" s="130" t="e">
        <f t="shared" si="24"/>
        <v>#REF!</v>
      </c>
    </row>
    <row r="146" spans="1:8">
      <c r="A146" s="63" t="e">
        <f t="shared" si="23"/>
        <v>#REF!</v>
      </c>
      <c r="B146" s="130" t="e">
        <f t="shared" si="24"/>
        <v>#REF!</v>
      </c>
      <c r="C146" s="130" t="e">
        <f t="shared" si="24"/>
        <v>#REF!</v>
      </c>
      <c r="D146" s="130" t="e">
        <f t="shared" si="24"/>
        <v>#REF!</v>
      </c>
      <c r="E146" s="130" t="e">
        <f t="shared" si="24"/>
        <v>#REF!</v>
      </c>
      <c r="F146" s="130" t="e">
        <f t="shared" si="24"/>
        <v>#REF!</v>
      </c>
      <c r="G146" s="130" t="e">
        <f t="shared" si="24"/>
        <v>#REF!</v>
      </c>
      <c r="H146" s="130" t="e">
        <f t="shared" si="24"/>
        <v>#REF!</v>
      </c>
    </row>
    <row r="147" spans="1:8">
      <c r="A147" s="63" t="str">
        <f t="shared" si="23"/>
        <v>-</v>
      </c>
      <c r="B147" s="130">
        <f t="shared" si="24"/>
        <v>0</v>
      </c>
      <c r="C147" s="130">
        <f t="shared" si="24"/>
        <v>0</v>
      </c>
      <c r="D147" s="130">
        <f t="shared" si="24"/>
        <v>0</v>
      </c>
      <c r="E147" s="130">
        <f t="shared" si="24"/>
        <v>0</v>
      </c>
      <c r="F147" s="130">
        <f t="shared" si="24"/>
        <v>0</v>
      </c>
      <c r="G147" s="130">
        <f t="shared" si="24"/>
        <v>0</v>
      </c>
      <c r="H147" s="130">
        <f t="shared" si="24"/>
        <v>0</v>
      </c>
    </row>
    <row r="148" spans="1:8">
      <c r="A148" s="63" t="e">
        <f t="shared" si="23"/>
        <v>#REF!</v>
      </c>
      <c r="B148" s="130" t="e">
        <f t="shared" si="24"/>
        <v>#REF!</v>
      </c>
      <c r="C148" s="130" t="e">
        <f t="shared" si="24"/>
        <v>#REF!</v>
      </c>
      <c r="D148" s="130" t="e">
        <f t="shared" si="24"/>
        <v>#REF!</v>
      </c>
      <c r="E148" s="130" t="e">
        <f t="shared" si="24"/>
        <v>#REF!</v>
      </c>
      <c r="F148" s="130" t="e">
        <f t="shared" si="24"/>
        <v>#REF!</v>
      </c>
      <c r="G148" s="130" t="e">
        <f t="shared" si="24"/>
        <v>#REF!</v>
      </c>
      <c r="H148" s="130" t="e">
        <f t="shared" si="24"/>
        <v>#REF!</v>
      </c>
    </row>
    <row r="149" spans="1:8">
      <c r="A149" s="63" t="e">
        <f t="shared" si="23"/>
        <v>#REF!</v>
      </c>
      <c r="B149" s="130" t="e">
        <f t="shared" si="24"/>
        <v>#REF!</v>
      </c>
      <c r="C149" s="130" t="e">
        <f t="shared" si="24"/>
        <v>#REF!</v>
      </c>
      <c r="D149" s="130" t="e">
        <f t="shared" si="24"/>
        <v>#REF!</v>
      </c>
      <c r="E149" s="130" t="e">
        <f t="shared" si="24"/>
        <v>#REF!</v>
      </c>
      <c r="F149" s="130" t="e">
        <f t="shared" si="24"/>
        <v>#REF!</v>
      </c>
      <c r="G149" s="130" t="e">
        <f t="shared" si="24"/>
        <v>#REF!</v>
      </c>
      <c r="H149" s="130" t="e">
        <f t="shared" si="24"/>
        <v>#REF!</v>
      </c>
    </row>
    <row r="150" spans="1:8">
      <c r="A150" s="63" t="e">
        <f t="shared" si="23"/>
        <v>#REF!</v>
      </c>
      <c r="B150" s="130" t="e">
        <f t="shared" si="24"/>
        <v>#REF!</v>
      </c>
      <c r="C150" s="130" t="e">
        <f t="shared" si="24"/>
        <v>#REF!</v>
      </c>
      <c r="D150" s="130" t="e">
        <f t="shared" si="24"/>
        <v>#REF!</v>
      </c>
      <c r="E150" s="130" t="e">
        <f t="shared" si="24"/>
        <v>#REF!</v>
      </c>
      <c r="F150" s="130" t="e">
        <f t="shared" si="24"/>
        <v>#REF!</v>
      </c>
      <c r="G150" s="130" t="e">
        <f t="shared" si="24"/>
        <v>#REF!</v>
      </c>
      <c r="H150" s="130" t="e">
        <f t="shared" si="24"/>
        <v>#REF!</v>
      </c>
    </row>
    <row r="151" spans="1:8">
      <c r="A151" s="63" t="e">
        <f t="shared" si="23"/>
        <v>#REF!</v>
      </c>
      <c r="B151" s="130" t="e">
        <f t="shared" si="24"/>
        <v>#REF!</v>
      </c>
      <c r="C151" s="130" t="e">
        <f t="shared" si="24"/>
        <v>#REF!</v>
      </c>
      <c r="D151" s="130" t="e">
        <f t="shared" si="24"/>
        <v>#REF!</v>
      </c>
      <c r="E151" s="130" t="e">
        <f t="shared" si="24"/>
        <v>#REF!</v>
      </c>
      <c r="F151" s="130" t="e">
        <f t="shared" si="24"/>
        <v>#REF!</v>
      </c>
      <c r="G151" s="130" t="e">
        <f t="shared" si="24"/>
        <v>#REF!</v>
      </c>
      <c r="H151" s="130" t="e">
        <f t="shared" si="24"/>
        <v>#REF!</v>
      </c>
    </row>
    <row r="152" spans="1:8">
      <c r="A152" s="63" t="e">
        <f t="shared" si="23"/>
        <v>#REF!</v>
      </c>
      <c r="B152" s="130" t="e">
        <f t="shared" si="24"/>
        <v>#REF!</v>
      </c>
      <c r="C152" s="130" t="e">
        <f t="shared" si="24"/>
        <v>#REF!</v>
      </c>
      <c r="D152" s="130" t="e">
        <f t="shared" si="24"/>
        <v>#REF!</v>
      </c>
      <c r="E152" s="130" t="e">
        <f t="shared" si="24"/>
        <v>#REF!</v>
      </c>
      <c r="F152" s="130" t="e">
        <f t="shared" si="24"/>
        <v>#REF!</v>
      </c>
      <c r="G152" s="130" t="e">
        <f t="shared" si="24"/>
        <v>#REF!</v>
      </c>
      <c r="H152" s="130" t="e">
        <f t="shared" si="24"/>
        <v>#REF!</v>
      </c>
    </row>
    <row r="153" spans="1:8">
      <c r="A153" s="63" t="e">
        <f t="shared" si="23"/>
        <v>#REF!</v>
      </c>
      <c r="B153" s="130" t="e">
        <f t="shared" si="24"/>
        <v>#REF!</v>
      </c>
      <c r="C153" s="130" t="e">
        <f t="shared" si="24"/>
        <v>#REF!</v>
      </c>
      <c r="D153" s="130" t="e">
        <f t="shared" si="24"/>
        <v>#REF!</v>
      </c>
      <c r="E153" s="130" t="e">
        <f t="shared" si="24"/>
        <v>#REF!</v>
      </c>
      <c r="F153" s="130" t="e">
        <f t="shared" si="24"/>
        <v>#REF!</v>
      </c>
      <c r="G153" s="130" t="e">
        <f t="shared" si="24"/>
        <v>#REF!</v>
      </c>
      <c r="H153" s="130" t="e">
        <f t="shared" si="24"/>
        <v>#REF!</v>
      </c>
    </row>
    <row r="154" spans="1:8">
      <c r="A154" s="63" t="e">
        <f t="shared" si="23"/>
        <v>#REF!</v>
      </c>
      <c r="B154" s="130" t="e">
        <f t="shared" ref="B154:H161" si="25">B102-(B102*$G$7)</f>
        <v>#REF!</v>
      </c>
      <c r="C154" s="130" t="e">
        <f t="shared" si="25"/>
        <v>#REF!</v>
      </c>
      <c r="D154" s="130" t="e">
        <f t="shared" si="25"/>
        <v>#REF!</v>
      </c>
      <c r="E154" s="130" t="e">
        <f t="shared" si="25"/>
        <v>#REF!</v>
      </c>
      <c r="F154" s="130" t="e">
        <f t="shared" si="25"/>
        <v>#REF!</v>
      </c>
      <c r="G154" s="130" t="e">
        <f t="shared" si="25"/>
        <v>#REF!</v>
      </c>
      <c r="H154" s="130" t="e">
        <f t="shared" si="25"/>
        <v>#REF!</v>
      </c>
    </row>
    <row r="155" spans="1:8">
      <c r="A155" s="63" t="e">
        <f t="shared" si="23"/>
        <v>#REF!</v>
      </c>
      <c r="B155" s="130" t="e">
        <f t="shared" si="25"/>
        <v>#REF!</v>
      </c>
      <c r="C155" s="130" t="e">
        <f t="shared" si="25"/>
        <v>#REF!</v>
      </c>
      <c r="D155" s="130" t="e">
        <f t="shared" si="25"/>
        <v>#REF!</v>
      </c>
      <c r="E155" s="130" t="e">
        <f t="shared" si="25"/>
        <v>#REF!</v>
      </c>
      <c r="F155" s="130" t="e">
        <f t="shared" si="25"/>
        <v>#REF!</v>
      </c>
      <c r="G155" s="130" t="e">
        <f t="shared" si="25"/>
        <v>#REF!</v>
      </c>
      <c r="H155" s="130" t="e">
        <f t="shared" si="25"/>
        <v>#REF!</v>
      </c>
    </row>
    <row r="156" spans="1:8">
      <c r="A156" s="63" t="e">
        <f t="shared" si="23"/>
        <v>#REF!</v>
      </c>
      <c r="B156" s="130" t="e">
        <f t="shared" si="25"/>
        <v>#REF!</v>
      </c>
      <c r="C156" s="130" t="e">
        <f t="shared" si="25"/>
        <v>#REF!</v>
      </c>
      <c r="D156" s="130" t="e">
        <f t="shared" si="25"/>
        <v>#REF!</v>
      </c>
      <c r="E156" s="130" t="e">
        <f t="shared" si="25"/>
        <v>#REF!</v>
      </c>
      <c r="F156" s="130" t="e">
        <f t="shared" si="25"/>
        <v>#REF!</v>
      </c>
      <c r="G156" s="130" t="e">
        <f t="shared" si="25"/>
        <v>#REF!</v>
      </c>
      <c r="H156" s="130" t="e">
        <f t="shared" si="25"/>
        <v>#REF!</v>
      </c>
    </row>
    <row r="157" spans="1:8">
      <c r="A157" s="63" t="e">
        <f t="shared" si="23"/>
        <v>#REF!</v>
      </c>
      <c r="B157" s="130" t="e">
        <f t="shared" si="25"/>
        <v>#REF!</v>
      </c>
      <c r="C157" s="130" t="e">
        <f t="shared" si="25"/>
        <v>#REF!</v>
      </c>
      <c r="D157" s="130" t="e">
        <f t="shared" si="25"/>
        <v>#REF!</v>
      </c>
      <c r="E157" s="130" t="e">
        <f t="shared" si="25"/>
        <v>#REF!</v>
      </c>
      <c r="F157" s="130" t="e">
        <f t="shared" si="25"/>
        <v>#REF!</v>
      </c>
      <c r="G157" s="130" t="e">
        <f t="shared" si="25"/>
        <v>#REF!</v>
      </c>
      <c r="H157" s="130" t="e">
        <f t="shared" si="25"/>
        <v>#REF!</v>
      </c>
    </row>
    <row r="158" spans="1:8">
      <c r="A158" s="63" t="e">
        <f t="shared" si="23"/>
        <v>#REF!</v>
      </c>
      <c r="B158" s="130" t="e">
        <f t="shared" si="25"/>
        <v>#REF!</v>
      </c>
      <c r="C158" s="130" t="e">
        <f t="shared" si="25"/>
        <v>#REF!</v>
      </c>
      <c r="D158" s="130" t="e">
        <f t="shared" si="25"/>
        <v>#REF!</v>
      </c>
      <c r="E158" s="130" t="e">
        <f t="shared" si="25"/>
        <v>#REF!</v>
      </c>
      <c r="F158" s="130" t="e">
        <f t="shared" si="25"/>
        <v>#REF!</v>
      </c>
      <c r="G158" s="130" t="e">
        <f t="shared" si="25"/>
        <v>#REF!</v>
      </c>
      <c r="H158" s="130" t="e">
        <f t="shared" si="25"/>
        <v>#REF!</v>
      </c>
    </row>
    <row r="159" spans="1:8">
      <c r="A159" s="63" t="e">
        <f t="shared" si="23"/>
        <v>#REF!</v>
      </c>
      <c r="B159" s="130" t="e">
        <f t="shared" si="25"/>
        <v>#REF!</v>
      </c>
      <c r="C159" s="130" t="e">
        <f t="shared" si="25"/>
        <v>#REF!</v>
      </c>
      <c r="D159" s="130" t="e">
        <f t="shared" si="25"/>
        <v>#REF!</v>
      </c>
      <c r="E159" s="130" t="e">
        <f t="shared" si="25"/>
        <v>#REF!</v>
      </c>
      <c r="F159" s="130" t="e">
        <f t="shared" si="25"/>
        <v>#REF!</v>
      </c>
      <c r="G159" s="130" t="e">
        <f t="shared" si="25"/>
        <v>#REF!</v>
      </c>
      <c r="H159" s="130" t="e">
        <f t="shared" si="25"/>
        <v>#REF!</v>
      </c>
    </row>
    <row r="160" spans="1:8">
      <c r="A160" s="63" t="e">
        <f t="shared" si="23"/>
        <v>#REF!</v>
      </c>
      <c r="B160" s="130" t="e">
        <f t="shared" si="25"/>
        <v>#REF!</v>
      </c>
      <c r="C160" s="130" t="e">
        <f t="shared" si="25"/>
        <v>#REF!</v>
      </c>
      <c r="D160" s="130" t="e">
        <f t="shared" si="25"/>
        <v>#REF!</v>
      </c>
      <c r="E160" s="130" t="e">
        <f t="shared" si="25"/>
        <v>#REF!</v>
      </c>
      <c r="F160" s="130" t="e">
        <f t="shared" si="25"/>
        <v>#REF!</v>
      </c>
      <c r="G160" s="130" t="e">
        <f t="shared" si="25"/>
        <v>#REF!</v>
      </c>
      <c r="H160" s="130" t="e">
        <f t="shared" si="25"/>
        <v>#REF!</v>
      </c>
    </row>
    <row r="161" spans="1:20">
      <c r="A161" s="63" t="e">
        <f t="shared" si="23"/>
        <v>#REF!</v>
      </c>
      <c r="B161" s="130" t="e">
        <f t="shared" si="25"/>
        <v>#REF!</v>
      </c>
      <c r="C161" s="130" t="e">
        <f t="shared" si="25"/>
        <v>#REF!</v>
      </c>
      <c r="D161" s="130" t="e">
        <f t="shared" si="25"/>
        <v>#REF!</v>
      </c>
      <c r="E161" s="130" t="e">
        <f t="shared" si="25"/>
        <v>#REF!</v>
      </c>
      <c r="F161" s="130" t="e">
        <f t="shared" si="25"/>
        <v>#REF!</v>
      </c>
      <c r="G161" s="130" t="e">
        <f t="shared" si="25"/>
        <v>#REF!</v>
      </c>
      <c r="H161" s="130" t="e">
        <f t="shared" si="25"/>
        <v>#REF!</v>
      </c>
    </row>
    <row r="162" spans="1:20">
      <c r="A162" s="63" t="e">
        <f t="shared" ref="A162:A165" si="26">A110</f>
        <v>#REF!</v>
      </c>
      <c r="B162" s="130">
        <f t="shared" ref="B162:H162" si="27">B110-(B110*$G$7)</f>
        <v>0</v>
      </c>
      <c r="C162" s="130">
        <f t="shared" si="27"/>
        <v>0</v>
      </c>
      <c r="D162" s="130">
        <f t="shared" si="27"/>
        <v>0</v>
      </c>
      <c r="E162" s="130">
        <f t="shared" si="27"/>
        <v>0</v>
      </c>
      <c r="F162" s="130">
        <f t="shared" si="27"/>
        <v>0</v>
      </c>
      <c r="G162" s="130">
        <f t="shared" si="27"/>
        <v>0</v>
      </c>
      <c r="H162" s="130">
        <f t="shared" si="27"/>
        <v>0</v>
      </c>
    </row>
    <row r="163" spans="1:20">
      <c r="A163" s="63" t="e">
        <f t="shared" si="26"/>
        <v>#REF!</v>
      </c>
      <c r="B163" s="130">
        <f t="shared" ref="B163:H163" si="28">B111-(B111*$G$7)</f>
        <v>0</v>
      </c>
      <c r="C163" s="130">
        <f t="shared" si="28"/>
        <v>0</v>
      </c>
      <c r="D163" s="130">
        <f t="shared" si="28"/>
        <v>0</v>
      </c>
      <c r="E163" s="130">
        <f t="shared" si="28"/>
        <v>0</v>
      </c>
      <c r="F163" s="130">
        <f t="shared" si="28"/>
        <v>0</v>
      </c>
      <c r="G163" s="130">
        <f t="shared" si="28"/>
        <v>0</v>
      </c>
      <c r="H163" s="130">
        <f t="shared" si="28"/>
        <v>0</v>
      </c>
    </row>
    <row r="164" spans="1:20">
      <c r="A164" s="63" t="e">
        <f t="shared" si="26"/>
        <v>#REF!</v>
      </c>
      <c r="B164" s="130">
        <f t="shared" ref="B164:H165" si="29">B112-(B112*$G$7)</f>
        <v>0</v>
      </c>
      <c r="C164" s="130">
        <f t="shared" si="29"/>
        <v>0</v>
      </c>
      <c r="D164" s="130">
        <f t="shared" si="29"/>
        <v>0</v>
      </c>
      <c r="E164" s="130">
        <f t="shared" si="29"/>
        <v>0</v>
      </c>
      <c r="F164" s="130">
        <f t="shared" si="29"/>
        <v>0</v>
      </c>
      <c r="G164" s="130">
        <f t="shared" si="29"/>
        <v>0</v>
      </c>
      <c r="H164" s="130">
        <f t="shared" si="29"/>
        <v>0</v>
      </c>
    </row>
    <row r="165" spans="1:20">
      <c r="A165" s="63" t="e">
        <f t="shared" si="26"/>
        <v>#REF!</v>
      </c>
      <c r="B165" s="130" t="e">
        <f t="shared" si="29"/>
        <v>#REF!</v>
      </c>
      <c r="C165" s="130" t="e">
        <f t="shared" ref="C165:H168" si="30">C113-(C113*$G$7)</f>
        <v>#REF!</v>
      </c>
      <c r="D165" s="130" t="e">
        <f t="shared" si="30"/>
        <v>#REF!</v>
      </c>
      <c r="E165" s="130" t="e">
        <f t="shared" si="30"/>
        <v>#REF!</v>
      </c>
      <c r="F165" s="130" t="e">
        <f t="shared" si="30"/>
        <v>#REF!</v>
      </c>
      <c r="G165" s="130" t="e">
        <f t="shared" si="30"/>
        <v>#REF!</v>
      </c>
      <c r="H165" s="130" t="e">
        <f t="shared" si="30"/>
        <v>#REF!</v>
      </c>
    </row>
    <row r="166" spans="1:20">
      <c r="A166" s="63" t="e">
        <f>A114</f>
        <v>#REF!</v>
      </c>
      <c r="B166" s="130" t="e">
        <f>B114-(B114*$G$7)</f>
        <v>#REF!</v>
      </c>
      <c r="C166" s="130" t="e">
        <f t="shared" si="30"/>
        <v>#REF!</v>
      </c>
      <c r="D166" s="130" t="e">
        <f t="shared" si="30"/>
        <v>#REF!</v>
      </c>
      <c r="E166" s="130" t="e">
        <f t="shared" si="30"/>
        <v>#REF!</v>
      </c>
      <c r="F166" s="130" t="e">
        <f t="shared" si="30"/>
        <v>#REF!</v>
      </c>
      <c r="G166" s="130" t="e">
        <f t="shared" si="30"/>
        <v>#REF!</v>
      </c>
      <c r="H166" s="130" t="e">
        <f t="shared" si="30"/>
        <v>#REF!</v>
      </c>
    </row>
    <row r="167" spans="1:20">
      <c r="A167" s="63" t="e">
        <f>A115</f>
        <v>#REF!</v>
      </c>
      <c r="B167" s="130" t="e">
        <f>B115-(B115*$G$7)</f>
        <v>#REF!</v>
      </c>
      <c r="C167" s="130" t="e">
        <f t="shared" si="30"/>
        <v>#REF!</v>
      </c>
      <c r="D167" s="130" t="e">
        <f t="shared" si="30"/>
        <v>#REF!</v>
      </c>
      <c r="E167" s="130" t="e">
        <f t="shared" si="30"/>
        <v>#REF!</v>
      </c>
      <c r="F167" s="130" t="e">
        <f t="shared" si="30"/>
        <v>#REF!</v>
      </c>
      <c r="G167" s="130" t="e">
        <f t="shared" si="30"/>
        <v>#REF!</v>
      </c>
      <c r="H167" s="130" t="e">
        <f t="shared" si="30"/>
        <v>#REF!</v>
      </c>
    </row>
    <row r="168" spans="1:20">
      <c r="A168" s="63" t="e">
        <f>A116</f>
        <v>#REF!</v>
      </c>
      <c r="B168" s="130" t="e">
        <f>B116-(B116*$G$7)</f>
        <v>#REF!</v>
      </c>
      <c r="C168" s="130" t="e">
        <f t="shared" si="30"/>
        <v>#REF!</v>
      </c>
      <c r="D168" s="130" t="e">
        <f t="shared" si="30"/>
        <v>#REF!</v>
      </c>
      <c r="E168" s="130" t="e">
        <f t="shared" si="30"/>
        <v>#REF!</v>
      </c>
      <c r="F168" s="130" t="e">
        <f t="shared" si="30"/>
        <v>#REF!</v>
      </c>
      <c r="G168" s="130" t="e">
        <f t="shared" si="30"/>
        <v>#REF!</v>
      </c>
      <c r="H168" s="130" t="e">
        <f t="shared" si="30"/>
        <v>#REF!</v>
      </c>
    </row>
    <row r="169" spans="1:20">
      <c r="A169" s="62"/>
    </row>
    <row r="170" spans="1:20" ht="18.75">
      <c r="A170" s="602" t="s">
        <v>545</v>
      </c>
      <c r="B170" s="602"/>
      <c r="C170" s="602"/>
      <c r="D170" s="602"/>
      <c r="E170" s="602"/>
      <c r="F170" s="602"/>
      <c r="G170" s="602"/>
      <c r="H170" s="602"/>
      <c r="I170" s="602"/>
      <c r="J170" s="602"/>
    </row>
    <row r="171" spans="1:20">
      <c r="A171" s="12"/>
      <c r="B171" s="12"/>
      <c r="C171" s="12"/>
      <c r="D171" s="12"/>
      <c r="E171" s="12"/>
      <c r="F171" s="12"/>
      <c r="G171" s="12"/>
      <c r="H171" s="12"/>
    </row>
    <row r="172" spans="1:20">
      <c r="A172" s="131"/>
      <c r="B172" s="131"/>
      <c r="C172" s="131"/>
      <c r="D172" s="132">
        <v>1</v>
      </c>
      <c r="E172" s="133">
        <f>(D172*5%)+D172</f>
        <v>1.05</v>
      </c>
      <c r="F172" s="133">
        <f t="shared" ref="F172:J172" si="31">(E172*5%)+E172</f>
        <v>1.1025</v>
      </c>
      <c r="G172" s="133">
        <f t="shared" si="31"/>
        <v>1.1576250000000001</v>
      </c>
      <c r="H172" s="133">
        <f t="shared" si="31"/>
        <v>1.2155062500000002</v>
      </c>
      <c r="I172" s="133">
        <f t="shared" si="31"/>
        <v>1.2762815625000004</v>
      </c>
      <c r="J172" s="133">
        <f t="shared" si="31"/>
        <v>1.3400956406250004</v>
      </c>
      <c r="K172" s="62"/>
      <c r="L172" s="62"/>
      <c r="M172" s="62"/>
      <c r="N172" s="62"/>
      <c r="O172" s="62"/>
      <c r="P172" s="62"/>
      <c r="Q172" s="62"/>
      <c r="R172" s="62"/>
      <c r="S172" s="62"/>
      <c r="T172" s="62"/>
    </row>
    <row r="173" spans="1:20">
      <c r="A173" s="62"/>
      <c r="B173" s="62"/>
      <c r="C173" s="62"/>
      <c r="D173" s="62"/>
      <c r="E173" s="62"/>
      <c r="F173" s="62"/>
      <c r="G173" s="62"/>
      <c r="H173" s="62"/>
      <c r="I173" s="62"/>
      <c r="J173" s="62"/>
      <c r="K173" s="62"/>
      <c r="L173" s="62"/>
      <c r="M173" s="62"/>
      <c r="N173" s="62"/>
      <c r="O173" s="62"/>
      <c r="P173" s="62"/>
      <c r="Q173" s="62"/>
      <c r="R173" s="62"/>
      <c r="S173" s="62"/>
      <c r="T173" s="62"/>
    </row>
    <row r="174" spans="1:20">
      <c r="A174" s="62"/>
      <c r="B174" s="62"/>
      <c r="C174" s="62"/>
      <c r="D174" s="124"/>
      <c r="E174" s="124"/>
      <c r="F174" s="124"/>
      <c r="G174" s="124"/>
      <c r="H174" s="124"/>
      <c r="I174" s="124"/>
      <c r="J174" s="124"/>
      <c r="K174" s="62"/>
      <c r="L174" s="62"/>
    </row>
    <row r="175" spans="1:20">
      <c r="A175" s="55" t="s">
        <v>0</v>
      </c>
      <c r="B175" s="55"/>
      <c r="C175" s="55" t="s">
        <v>148</v>
      </c>
      <c r="D175" s="56" t="s">
        <v>2</v>
      </c>
      <c r="E175" s="56" t="s">
        <v>3</v>
      </c>
      <c r="F175" s="56" t="s">
        <v>4</v>
      </c>
      <c r="G175" s="56" t="s">
        <v>5</v>
      </c>
      <c r="H175" s="56" t="s">
        <v>6</v>
      </c>
      <c r="I175" s="56" t="s">
        <v>164</v>
      </c>
      <c r="J175" s="56" t="s">
        <v>163</v>
      </c>
      <c r="K175" s="62"/>
      <c r="L175" s="62"/>
    </row>
    <row r="176" spans="1:20">
      <c r="A176" s="65"/>
      <c r="B176" s="65"/>
      <c r="C176" s="65"/>
      <c r="D176" s="63"/>
      <c r="E176" s="63"/>
      <c r="F176" s="63"/>
      <c r="G176" s="63"/>
      <c r="H176" s="63"/>
      <c r="I176" s="63"/>
      <c r="J176" s="63"/>
      <c r="K176" s="62"/>
      <c r="L176" s="62"/>
    </row>
    <row r="177" spans="1:12">
      <c r="A177" s="65" t="s">
        <v>124</v>
      </c>
      <c r="B177" s="65"/>
      <c r="C177" s="65"/>
      <c r="D177" s="63"/>
      <c r="E177" s="63"/>
      <c r="F177" s="63"/>
      <c r="G177" s="63"/>
      <c r="H177" s="63"/>
      <c r="I177" s="63"/>
      <c r="J177" s="63"/>
      <c r="K177" s="62"/>
      <c r="L177" s="62"/>
    </row>
    <row r="178" spans="1:12">
      <c r="A178" s="63" t="str">
        <f t="shared" ref="A178:A198" si="32">A120</f>
        <v>Soybean</v>
      </c>
      <c r="B178" s="63" t="s">
        <v>350</v>
      </c>
      <c r="C178" s="191">
        <v>4000</v>
      </c>
      <c r="D178" s="136">
        <f>(B120*(1-'5.Closing Stock &amp; W Capital'!$D$16))*C$178*D172</f>
        <v>0</v>
      </c>
      <c r="E178" s="136">
        <f>((C120*(1-'5.Closing Stock &amp; W Capital'!$D$16))+(B120*'5.Closing Stock &amp; W Capital'!$D$16))*$C178*E$172</f>
        <v>0</v>
      </c>
      <c r="F178" s="136">
        <f>((D120*(1-'5.Closing Stock &amp; W Capital'!$D$16))+(C120*'5.Closing Stock &amp; W Capital'!$D$16))*$C178*F$172</f>
        <v>0</v>
      </c>
      <c r="G178" s="136">
        <f>((E120*(1-'5.Closing Stock &amp; W Capital'!$D$16))+(D120*'5.Closing Stock &amp; W Capital'!$D$16))*$C178*G$172</f>
        <v>0</v>
      </c>
      <c r="H178" s="136">
        <f>((F120*(1-'5.Closing Stock &amp; W Capital'!$D$16))+(E120*'5.Closing Stock &amp; W Capital'!$D$16))*$C178*H$172</f>
        <v>0</v>
      </c>
      <c r="I178" s="136">
        <f>((G120*(1-'5.Closing Stock &amp; W Capital'!$D$16))+(F120*'5.Closing Stock &amp; W Capital'!$D$16))*$C178*I$172</f>
        <v>0</v>
      </c>
      <c r="J178" s="136">
        <f>((H120*(1-'5.Closing Stock &amp; W Capital'!$D$16))+(G120*'5.Closing Stock &amp; W Capital'!$D$16))*$C178*J$172</f>
        <v>0</v>
      </c>
      <c r="K178" s="62"/>
      <c r="L178" s="62"/>
    </row>
    <row r="179" spans="1:12">
      <c r="A179" s="63" t="str">
        <f t="shared" si="32"/>
        <v>Red Gram/Tur</v>
      </c>
      <c r="B179" s="63" t="s">
        <v>350</v>
      </c>
      <c r="C179" s="191">
        <v>6000</v>
      </c>
      <c r="D179" s="136">
        <f>(B121*(1-'5.Closing Stock &amp; W Capital'!$D$16))*$C179*D$172</f>
        <v>0</v>
      </c>
      <c r="E179" s="136">
        <f>((C121*(1-'5.Closing Stock &amp; W Capital'!$D$16))+(B121*'5.Closing Stock &amp; W Capital'!$D$16))*$C179*E$172</f>
        <v>0</v>
      </c>
      <c r="F179" s="136">
        <f>((D121*(1-'5.Closing Stock &amp; W Capital'!$D$16))+(C121*'5.Closing Stock &amp; W Capital'!$D$16))*$C179*F$172</f>
        <v>0</v>
      </c>
      <c r="G179" s="136">
        <f>((E121*(1-'5.Closing Stock &amp; W Capital'!$D$16))+(D121*'5.Closing Stock &amp; W Capital'!$D$16))*$C179*G$172</f>
        <v>0</v>
      </c>
      <c r="H179" s="136">
        <f>((F121*(1-'5.Closing Stock &amp; W Capital'!$D$16))+(E121*'5.Closing Stock &amp; W Capital'!$D$16))*$C179*H$172</f>
        <v>0</v>
      </c>
      <c r="I179" s="136">
        <f>((G121*(1-'5.Closing Stock &amp; W Capital'!$D$16))+(F121*'5.Closing Stock &amp; W Capital'!$D$16))*$C179*I$172</f>
        <v>0</v>
      </c>
      <c r="J179" s="136">
        <f>((H121*(1-'5.Closing Stock &amp; W Capital'!$D$16))+(G121*'5.Closing Stock &amp; W Capital'!$D$16))*$C179*J$172</f>
        <v>0</v>
      </c>
      <c r="K179" s="62"/>
      <c r="L179" s="62"/>
    </row>
    <row r="180" spans="1:12">
      <c r="A180" s="63" t="str">
        <f t="shared" si="32"/>
        <v>Paddy/Rice</v>
      </c>
      <c r="B180" s="63" t="s">
        <v>350</v>
      </c>
      <c r="C180" s="191"/>
      <c r="D180" s="136">
        <f>(B122*(1-'5.Closing Stock &amp; W Capital'!$D$16))*$C180*D$172</f>
        <v>0</v>
      </c>
      <c r="E180" s="136">
        <f>((C122*(1-'5.Closing Stock &amp; W Capital'!$D$16))+(B122*'5.Closing Stock &amp; W Capital'!$D$16))*$C180*E$172</f>
        <v>0</v>
      </c>
      <c r="F180" s="136">
        <f>((D122*(1-'5.Closing Stock &amp; W Capital'!$D$16))+(C122*'5.Closing Stock &amp; W Capital'!$D$16))*$C180*F$172</f>
        <v>0</v>
      </c>
      <c r="G180" s="136">
        <f>((E122*(1-'5.Closing Stock &amp; W Capital'!$D$16))+(D122*'5.Closing Stock &amp; W Capital'!$D$16))*$C180*G$172</f>
        <v>0</v>
      </c>
      <c r="H180" s="136">
        <f>((F122*(1-'5.Closing Stock &amp; W Capital'!$D$16))+(E122*'5.Closing Stock &amp; W Capital'!$D$16))*$C180*H$172</f>
        <v>0</v>
      </c>
      <c r="I180" s="136">
        <f>((G122*(1-'5.Closing Stock &amp; W Capital'!$D$16))+(F122*'5.Closing Stock &amp; W Capital'!$D$16))*$C180*I$172</f>
        <v>0</v>
      </c>
      <c r="J180" s="136">
        <f>((H122*(1-'5.Closing Stock &amp; W Capital'!$D$16))+(G122*'5.Closing Stock &amp; W Capital'!$D$16))*$C180*J$172</f>
        <v>0</v>
      </c>
      <c r="K180" s="62"/>
      <c r="L180" s="62"/>
    </row>
    <row r="181" spans="1:12">
      <c r="A181" s="63" t="str">
        <f t="shared" si="32"/>
        <v>Green Gram/ Moong</v>
      </c>
      <c r="B181" s="63" t="s">
        <v>350</v>
      </c>
      <c r="C181" s="191">
        <v>6000</v>
      </c>
      <c r="D181" s="136">
        <f>(B123*(1-'5.Closing Stock &amp; W Capital'!$D$16))*$C181*D$172</f>
        <v>0</v>
      </c>
      <c r="E181" s="136">
        <f>((C123*(1-'5.Closing Stock &amp; W Capital'!$D$16))+(B123*'5.Closing Stock &amp; W Capital'!$D$16))*$C181*E$172</f>
        <v>0</v>
      </c>
      <c r="F181" s="136">
        <f>((D123*(1-'5.Closing Stock &amp; W Capital'!$D$16))+(C123*'5.Closing Stock &amp; W Capital'!$D$16))*$C181*F$172</f>
        <v>0</v>
      </c>
      <c r="G181" s="136">
        <f>((E123*(1-'5.Closing Stock &amp; W Capital'!$D$16))+(D123*'5.Closing Stock &amp; W Capital'!$D$16))*$C181*G$172</f>
        <v>0</v>
      </c>
      <c r="H181" s="136">
        <f>((F123*(1-'5.Closing Stock &amp; W Capital'!$D$16))+(E123*'5.Closing Stock &amp; W Capital'!$D$16))*$C181*H$172</f>
        <v>0</v>
      </c>
      <c r="I181" s="136">
        <f>((G123*(1-'5.Closing Stock &amp; W Capital'!$D$16))+(F123*'5.Closing Stock &amp; W Capital'!$D$16))*$C181*I$172</f>
        <v>0</v>
      </c>
      <c r="J181" s="136">
        <f>((H123*(1-'5.Closing Stock &amp; W Capital'!$D$16))+(G123*'5.Closing Stock &amp; W Capital'!$D$16))*$C181*J$172</f>
        <v>0</v>
      </c>
      <c r="K181" s="62"/>
      <c r="L181" s="62"/>
    </row>
    <row r="182" spans="1:12">
      <c r="A182" s="63" t="str">
        <f t="shared" si="32"/>
        <v>Maize</v>
      </c>
      <c r="B182" s="63" t="s">
        <v>350</v>
      </c>
      <c r="C182" s="191"/>
      <c r="D182" s="136">
        <f>(B124*(1-'5.Closing Stock &amp; W Capital'!$D$16))*$C182*D$172</f>
        <v>0</v>
      </c>
      <c r="E182" s="136">
        <f>((C124*(1-'5.Closing Stock &amp; W Capital'!$D$16))+(B124*'5.Closing Stock &amp; W Capital'!$D$16))*$C182*E$172</f>
        <v>0</v>
      </c>
      <c r="F182" s="136">
        <f>((D124*(1-'5.Closing Stock &amp; W Capital'!$D$16))+(C124*'5.Closing Stock &amp; W Capital'!$D$16))*$C182*F$172</f>
        <v>0</v>
      </c>
      <c r="G182" s="136">
        <f>((E124*(1-'5.Closing Stock &amp; W Capital'!$D$16))+(D124*'5.Closing Stock &amp; W Capital'!$D$16))*$C182*G$172</f>
        <v>0</v>
      </c>
      <c r="H182" s="136">
        <f>((F124*(1-'5.Closing Stock &amp; W Capital'!$D$16))+(E124*'5.Closing Stock &amp; W Capital'!$D$16))*$C182*H$172</f>
        <v>0</v>
      </c>
      <c r="I182" s="136">
        <f>((G124*(1-'5.Closing Stock &amp; W Capital'!$D$16))+(F124*'5.Closing Stock &amp; W Capital'!$D$16))*$C182*I$172</f>
        <v>0</v>
      </c>
      <c r="J182" s="136">
        <f>((H124*(1-'5.Closing Stock &amp; W Capital'!$D$16))+(G124*'5.Closing Stock &amp; W Capital'!$D$16))*$C182*J$172</f>
        <v>0</v>
      </c>
      <c r="K182" s="62"/>
      <c r="L182" s="62"/>
    </row>
    <row r="183" spans="1:12">
      <c r="A183" s="63" t="str">
        <f t="shared" si="32"/>
        <v>Black Gram/Udid</v>
      </c>
      <c r="B183" s="63" t="s">
        <v>350</v>
      </c>
      <c r="C183" s="191">
        <v>6500</v>
      </c>
      <c r="D183" s="136">
        <f>(B125*(1-'5.Closing Stock &amp; W Capital'!$D$16))*$C183*D$172</f>
        <v>0</v>
      </c>
      <c r="E183" s="136">
        <f>((C125*(1-'5.Closing Stock &amp; W Capital'!$D$16))+(B125*'5.Closing Stock &amp; W Capital'!$D$16))*$C183*E$172</f>
        <v>0</v>
      </c>
      <c r="F183" s="136">
        <f>((D125*(1-'5.Closing Stock &amp; W Capital'!$D$16))+(C125*'5.Closing Stock &amp; W Capital'!$D$16))*$C183*F$172</f>
        <v>0</v>
      </c>
      <c r="G183" s="136">
        <f>((E125*(1-'5.Closing Stock &amp; W Capital'!$D$16))+(D125*'5.Closing Stock &amp; W Capital'!$D$16))*$C183*G$172</f>
        <v>0</v>
      </c>
      <c r="H183" s="136">
        <f>((F125*(1-'5.Closing Stock &amp; W Capital'!$D$16))+(E125*'5.Closing Stock &amp; W Capital'!$D$16))*$C183*H$172</f>
        <v>0</v>
      </c>
      <c r="I183" s="136">
        <f>((G125*(1-'5.Closing Stock &amp; W Capital'!$D$16))+(F125*'5.Closing Stock &amp; W Capital'!$D$16))*$C183*I$172</f>
        <v>0</v>
      </c>
      <c r="J183" s="136">
        <f>((H125*(1-'5.Closing Stock &amp; W Capital'!$D$16))+(G125*'5.Closing Stock &amp; W Capital'!$D$16))*$C183*J$172</f>
        <v>0</v>
      </c>
      <c r="K183" s="62"/>
      <c r="L183" s="62"/>
    </row>
    <row r="184" spans="1:12">
      <c r="A184" s="63" t="str">
        <f t="shared" si="32"/>
        <v>Bajra</v>
      </c>
      <c r="B184" s="63" t="s">
        <v>350</v>
      </c>
      <c r="C184" s="191">
        <v>2000</v>
      </c>
      <c r="D184" s="136">
        <f>(B126*(1-'5.Closing Stock &amp; W Capital'!$D$16))*$C184*D$172</f>
        <v>0</v>
      </c>
      <c r="E184" s="136">
        <f>((C126*(1-'5.Closing Stock &amp; W Capital'!$D$16))+(B126*'5.Closing Stock &amp; W Capital'!$D$16))*$C184*E$172</f>
        <v>0</v>
      </c>
      <c r="F184" s="136">
        <f>((D126*(1-'5.Closing Stock &amp; W Capital'!$D$16))+(C126*'5.Closing Stock &amp; W Capital'!$D$16))*$C184*F$172</f>
        <v>0</v>
      </c>
      <c r="G184" s="136">
        <f>((E126*(1-'5.Closing Stock &amp; W Capital'!$D$16))+(D126*'5.Closing Stock &amp; W Capital'!$D$16))*$C184*G$172</f>
        <v>0</v>
      </c>
      <c r="H184" s="136">
        <f>((F126*(1-'5.Closing Stock &amp; W Capital'!$D$16))+(E126*'5.Closing Stock &amp; W Capital'!$D$16))*$C184*H$172</f>
        <v>0</v>
      </c>
      <c r="I184" s="136">
        <f>((G126*(1-'5.Closing Stock &amp; W Capital'!$D$16))+(F126*'5.Closing Stock &amp; W Capital'!$D$16))*$C184*I$172</f>
        <v>0</v>
      </c>
      <c r="J184" s="136">
        <f>((H126*(1-'5.Closing Stock &amp; W Capital'!$D$16))+(G126*'5.Closing Stock &amp; W Capital'!$D$16))*$C184*J$172</f>
        <v>0</v>
      </c>
      <c r="K184" s="62"/>
      <c r="L184" s="62"/>
    </row>
    <row r="185" spans="1:12">
      <c r="A185" s="63" t="str">
        <f t="shared" si="32"/>
        <v>Jawar</v>
      </c>
      <c r="B185" s="63" t="s">
        <v>350</v>
      </c>
      <c r="C185" s="191"/>
      <c r="D185" s="136">
        <f>(B127*(1-'5.Closing Stock &amp; W Capital'!$D$16))*$C185*D$172</f>
        <v>0</v>
      </c>
      <c r="E185" s="136">
        <f>((C127*(1-'5.Closing Stock &amp; W Capital'!$D$16))+(B127*'5.Closing Stock &amp; W Capital'!$D$16))*$C185*E$172</f>
        <v>0</v>
      </c>
      <c r="F185" s="136">
        <f>((D127*(1-'5.Closing Stock &amp; W Capital'!$D$16))+(C127*'5.Closing Stock &amp; W Capital'!$D$16))*$C185*F$172</f>
        <v>0</v>
      </c>
      <c r="G185" s="136">
        <f>((E127*(1-'5.Closing Stock &amp; W Capital'!$D$16))+(D127*'5.Closing Stock &amp; W Capital'!$D$16))*$C185*G$172</f>
        <v>0</v>
      </c>
      <c r="H185" s="136">
        <f>((F127*(1-'5.Closing Stock &amp; W Capital'!$D$16))+(E127*'5.Closing Stock &amp; W Capital'!$D$16))*$C185*H$172</f>
        <v>0</v>
      </c>
      <c r="I185" s="136">
        <f>((G127*(1-'5.Closing Stock &amp; W Capital'!$D$16))+(F127*'5.Closing Stock &amp; W Capital'!$D$16))*$C185*I$172</f>
        <v>0</v>
      </c>
      <c r="J185" s="136">
        <f>((H127*(1-'5.Closing Stock &amp; W Capital'!$D$16))+(G127*'5.Closing Stock &amp; W Capital'!$D$16))*$C185*J$172</f>
        <v>0</v>
      </c>
      <c r="K185" s="62"/>
      <c r="L185" s="62"/>
    </row>
    <row r="186" spans="1:12">
      <c r="A186" s="63" t="str">
        <f t="shared" si="32"/>
        <v>Sunflower</v>
      </c>
      <c r="B186" s="63" t="s">
        <v>350</v>
      </c>
      <c r="C186" s="191"/>
      <c r="D186" s="136">
        <f>(B128*(1-'5.Closing Stock &amp; W Capital'!$D$16))*$C186*D$172</f>
        <v>0</v>
      </c>
      <c r="E186" s="136">
        <f>((C128*(1-'5.Closing Stock &amp; W Capital'!$D$16))+(B128*'5.Closing Stock &amp; W Capital'!$D$16))*$C186*E$172</f>
        <v>0</v>
      </c>
      <c r="F186" s="136">
        <f>((D128*(1-'5.Closing Stock &amp; W Capital'!$D$16))+(C128*'5.Closing Stock &amp; W Capital'!$D$16))*$C186*F$172</f>
        <v>0</v>
      </c>
      <c r="G186" s="136">
        <f>((E128*(1-'5.Closing Stock &amp; W Capital'!$D$16))+(D128*'5.Closing Stock &amp; W Capital'!$D$16))*$C186*G$172</f>
        <v>0</v>
      </c>
      <c r="H186" s="136">
        <f>((F128*(1-'5.Closing Stock &amp; W Capital'!$D$16))+(E128*'5.Closing Stock &amp; W Capital'!$D$16))*$C186*H$172</f>
        <v>0</v>
      </c>
      <c r="I186" s="136">
        <f>((G128*(1-'5.Closing Stock &amp; W Capital'!$D$16))+(F128*'5.Closing Stock &amp; W Capital'!$D$16))*$C186*I$172</f>
        <v>0</v>
      </c>
      <c r="J186" s="136">
        <f>((H128*(1-'5.Closing Stock &amp; W Capital'!$D$16))+(G128*'5.Closing Stock &amp; W Capital'!$D$16))*$C186*J$172</f>
        <v>0</v>
      </c>
      <c r="K186" s="62"/>
      <c r="L186" s="62"/>
    </row>
    <row r="187" spans="1:12">
      <c r="A187" s="63">
        <f t="shared" si="32"/>
        <v>0</v>
      </c>
      <c r="B187" s="63" t="s">
        <v>350</v>
      </c>
      <c r="C187" s="191"/>
      <c r="D187" s="136">
        <f>(B129*(1-'5.Closing Stock &amp; W Capital'!$D$16))*$C187*D$172</f>
        <v>0</v>
      </c>
      <c r="E187" s="136">
        <f>((C129*(1-'5.Closing Stock &amp; W Capital'!$D$16))+(B129*'5.Closing Stock &amp; W Capital'!$D$16))*$C187*E$172</f>
        <v>0</v>
      </c>
      <c r="F187" s="136">
        <f>((D129*(1-'5.Closing Stock &amp; W Capital'!$D$16))+(C129*'5.Closing Stock &amp; W Capital'!$D$16))*$C187*F$172</f>
        <v>0</v>
      </c>
      <c r="G187" s="136">
        <f>((E129*(1-'5.Closing Stock &amp; W Capital'!$D$16))+(D129*'5.Closing Stock &amp; W Capital'!$D$16))*$C187*G$172</f>
        <v>0</v>
      </c>
      <c r="H187" s="136">
        <f>((F129*(1-'5.Closing Stock &amp; W Capital'!$D$16))+(E129*'5.Closing Stock &amp; W Capital'!$D$16))*$C187*H$172</f>
        <v>0</v>
      </c>
      <c r="I187" s="136">
        <f>((G129*(1-'5.Closing Stock &amp; W Capital'!$D$16))+(F129*'5.Closing Stock &amp; W Capital'!$D$16))*$C187*I$172</f>
        <v>0</v>
      </c>
      <c r="J187" s="136">
        <f>((H129*(1-'5.Closing Stock &amp; W Capital'!$D$16))+(G129*'5.Closing Stock &amp; W Capital'!$D$16))*$C187*J$172</f>
        <v>0</v>
      </c>
      <c r="K187" s="62"/>
      <c r="L187" s="62"/>
    </row>
    <row r="188" spans="1:12">
      <c r="A188" s="63">
        <f t="shared" si="32"/>
        <v>0</v>
      </c>
      <c r="B188" s="63" t="s">
        <v>350</v>
      </c>
      <c r="C188" s="191">
        <v>5000</v>
      </c>
      <c r="D188" s="136">
        <f>(B130*(1-'5.Closing Stock &amp; W Capital'!$D$16))*$C188*D$172</f>
        <v>0</v>
      </c>
      <c r="E188" s="136">
        <f>((C130*(1-'5.Closing Stock &amp; W Capital'!$D$16))+(B130*'5.Closing Stock &amp; W Capital'!$D$16))*$C188*E$172</f>
        <v>0</v>
      </c>
      <c r="F188" s="136">
        <f>((D130*(1-'5.Closing Stock &amp; W Capital'!$D$16))+(C130*'5.Closing Stock &amp; W Capital'!$D$16))*$C188*F$172</f>
        <v>0</v>
      </c>
      <c r="G188" s="136">
        <f>((E130*(1-'5.Closing Stock &amp; W Capital'!$D$16))+(D130*'5.Closing Stock &amp; W Capital'!$D$16))*$C188*G$172</f>
        <v>0</v>
      </c>
      <c r="H188" s="136">
        <f>((F130*(1-'5.Closing Stock &amp; W Capital'!$D$16))+(E130*'5.Closing Stock &amp; W Capital'!$D$16))*$C188*H$172</f>
        <v>0</v>
      </c>
      <c r="I188" s="136">
        <f>((G130*(1-'5.Closing Stock &amp; W Capital'!$D$16))+(F130*'5.Closing Stock &amp; W Capital'!$D$16))*$C188*I$172</f>
        <v>0</v>
      </c>
      <c r="J188" s="136">
        <f>((H130*(1-'5.Closing Stock &amp; W Capital'!$D$16))+(G130*'5.Closing Stock &amp; W Capital'!$D$16))*$C188*J$172</f>
        <v>0</v>
      </c>
      <c r="K188" s="62"/>
      <c r="L188" s="62"/>
    </row>
    <row r="189" spans="1:12">
      <c r="A189" s="63">
        <f t="shared" si="32"/>
        <v>0</v>
      </c>
      <c r="B189" s="63" t="s">
        <v>350</v>
      </c>
      <c r="C189" s="191"/>
      <c r="D189" s="136">
        <f>(B131*(1-'5.Closing Stock &amp; W Capital'!$D$16))*$C189*D$172</f>
        <v>0</v>
      </c>
      <c r="E189" s="136">
        <f>((C131*(1-'5.Closing Stock &amp; W Capital'!$D$16))+(B131*'5.Closing Stock &amp; W Capital'!$D$16))*$C189*E$172</f>
        <v>0</v>
      </c>
      <c r="F189" s="136">
        <f>((D131*(1-'5.Closing Stock &amp; W Capital'!$D$16))+(C131*'5.Closing Stock &amp; W Capital'!$D$16))*$C189*F$172</f>
        <v>0</v>
      </c>
      <c r="G189" s="136">
        <f>((E131*(1-'5.Closing Stock &amp; W Capital'!$D$16))+(D131*'5.Closing Stock &amp; W Capital'!$D$16))*$C189*G$172</f>
        <v>0</v>
      </c>
      <c r="H189" s="136">
        <f>((F131*(1-'5.Closing Stock &amp; W Capital'!$D$16))+(E131*'5.Closing Stock &amp; W Capital'!$D$16))*$C189*H$172</f>
        <v>0</v>
      </c>
      <c r="I189" s="136">
        <f>((G131*(1-'5.Closing Stock &amp; W Capital'!$D$16))+(F131*'5.Closing Stock &amp; W Capital'!$D$16))*$C189*I$172</f>
        <v>0</v>
      </c>
      <c r="J189" s="136">
        <f>((H131*(1-'5.Closing Stock &amp; W Capital'!$D$16))+(G131*'5.Closing Stock &amp; W Capital'!$D$16))*$C189*J$172</f>
        <v>0</v>
      </c>
      <c r="K189" s="62"/>
      <c r="L189" s="62"/>
    </row>
    <row r="190" spans="1:12">
      <c r="A190" s="63">
        <f t="shared" si="32"/>
        <v>0</v>
      </c>
      <c r="B190" s="63" t="s">
        <v>350</v>
      </c>
      <c r="C190" s="191"/>
      <c r="D190" s="136">
        <f>(B132*(1-'5.Closing Stock &amp; W Capital'!$D$16))*$C190*D$172</f>
        <v>0</v>
      </c>
      <c r="E190" s="136">
        <f>((C132*(1-'5.Closing Stock &amp; W Capital'!$D$16))+(B132*'5.Closing Stock &amp; W Capital'!$D$16))*$C190*E$172</f>
        <v>0</v>
      </c>
      <c r="F190" s="136">
        <f>((D132*(1-'5.Closing Stock &amp; W Capital'!$D$16))+(C132*'5.Closing Stock &amp; W Capital'!$D$16))*$C190*F$172</f>
        <v>0</v>
      </c>
      <c r="G190" s="136">
        <f>((E132*(1-'5.Closing Stock &amp; W Capital'!$D$16))+(D132*'5.Closing Stock &amp; W Capital'!$D$16))*$C190*G$172</f>
        <v>0</v>
      </c>
      <c r="H190" s="136">
        <f>((F132*(1-'5.Closing Stock &amp; W Capital'!$D$16))+(E132*'5.Closing Stock &amp; W Capital'!$D$16))*$C190*H$172</f>
        <v>0</v>
      </c>
      <c r="I190" s="136">
        <f>((G132*(1-'5.Closing Stock &amp; W Capital'!$D$16))+(F132*'5.Closing Stock &amp; W Capital'!$D$16))*$C190*I$172</f>
        <v>0</v>
      </c>
      <c r="J190" s="136">
        <f>((H132*(1-'5.Closing Stock &amp; W Capital'!$D$16))+(G132*'5.Closing Stock &amp; W Capital'!$D$16))*$C190*J$172</f>
        <v>0</v>
      </c>
      <c r="K190" s="62"/>
      <c r="L190" s="62"/>
    </row>
    <row r="191" spans="1:12">
      <c r="A191" s="63">
        <f t="shared" si="32"/>
        <v>0</v>
      </c>
      <c r="B191" s="63" t="s">
        <v>350</v>
      </c>
      <c r="C191" s="191"/>
      <c r="D191" s="136">
        <f>(B133*(1-'5.Closing Stock &amp; W Capital'!$D$16))*$C191*D$172</f>
        <v>0</v>
      </c>
      <c r="E191" s="136">
        <f>((C133*(1-'5.Closing Stock &amp; W Capital'!$D$16))+(B133*'5.Closing Stock &amp; W Capital'!$D$16))*$C191*E$172</f>
        <v>0</v>
      </c>
      <c r="F191" s="136">
        <f>((D133*(1-'5.Closing Stock &amp; W Capital'!$D$16))+(C133*'5.Closing Stock &amp; W Capital'!$D$16))*$C191*F$172</f>
        <v>0</v>
      </c>
      <c r="G191" s="136">
        <f>((E133*(1-'5.Closing Stock &amp; W Capital'!$D$16))+(D133*'5.Closing Stock &amp; W Capital'!$D$16))*$C191*G$172</f>
        <v>0</v>
      </c>
      <c r="H191" s="136">
        <f>((F133*(1-'5.Closing Stock &amp; W Capital'!$D$16))+(E133*'5.Closing Stock &amp; W Capital'!$D$16))*$C191*H$172</f>
        <v>0</v>
      </c>
      <c r="I191" s="136">
        <f>((G133*(1-'5.Closing Stock &amp; W Capital'!$D$16))+(F133*'5.Closing Stock &amp; W Capital'!$D$16))*$C191*I$172</f>
        <v>0</v>
      </c>
      <c r="J191" s="136">
        <f>((H133*(1-'5.Closing Stock &amp; W Capital'!$D$16))+(G133*'5.Closing Stock &amp; W Capital'!$D$16))*$C191*J$172</f>
        <v>0</v>
      </c>
      <c r="K191" s="62"/>
      <c r="L191" s="62"/>
    </row>
    <row r="192" spans="1:12">
      <c r="A192" s="63">
        <f t="shared" si="32"/>
        <v>0</v>
      </c>
      <c r="B192" s="63" t="s">
        <v>350</v>
      </c>
      <c r="C192" s="191"/>
      <c r="D192" s="136">
        <f>(B134*(1-'5.Closing Stock &amp; W Capital'!$D$16))*$C192*D$172</f>
        <v>0</v>
      </c>
      <c r="E192" s="136">
        <f>((C134*(1-'5.Closing Stock &amp; W Capital'!$D$16))+(B134*'5.Closing Stock &amp; W Capital'!$D$16))*$C192*E$172</f>
        <v>0</v>
      </c>
      <c r="F192" s="136">
        <f>((D134*(1-'5.Closing Stock &amp; W Capital'!$D$16))+(C134*'5.Closing Stock &amp; W Capital'!$D$16))*$C192*F$172</f>
        <v>0</v>
      </c>
      <c r="G192" s="136">
        <f>((E134*(1-'5.Closing Stock &amp; W Capital'!$D$16))+(D134*'5.Closing Stock &amp; W Capital'!$D$16))*$C192*G$172</f>
        <v>0</v>
      </c>
      <c r="H192" s="136">
        <f>((F134*(1-'5.Closing Stock &amp; W Capital'!$D$16))+(E134*'5.Closing Stock &amp; W Capital'!$D$16))*$C192*H$172</f>
        <v>0</v>
      </c>
      <c r="I192" s="136">
        <f>((G134*(1-'5.Closing Stock &amp; W Capital'!$D$16))+(F134*'5.Closing Stock &amp; W Capital'!$D$16))*$C192*I$172</f>
        <v>0</v>
      </c>
      <c r="J192" s="136">
        <f>((H134*(1-'5.Closing Stock &amp; W Capital'!$D$16))+(G134*'5.Closing Stock &amp; W Capital'!$D$16))*$C192*J$172</f>
        <v>0</v>
      </c>
      <c r="K192" s="62"/>
      <c r="L192" s="62"/>
    </row>
    <row r="193" spans="1:12">
      <c r="A193" s="63">
        <f t="shared" si="32"/>
        <v>0</v>
      </c>
      <c r="B193" s="63" t="s">
        <v>350</v>
      </c>
      <c r="C193" s="191"/>
      <c r="D193" s="136">
        <f>(B135*(1-'5.Closing Stock &amp; W Capital'!$D$16))*$C193*D$172</f>
        <v>0</v>
      </c>
      <c r="E193" s="136">
        <f>((C135*(1-'5.Closing Stock &amp; W Capital'!$D$16))+(B135*'5.Closing Stock &amp; W Capital'!$D$16))*$C193*E$172</f>
        <v>0</v>
      </c>
      <c r="F193" s="136">
        <f>((D135*(1-'5.Closing Stock &amp; W Capital'!$D$16))+(C135*'5.Closing Stock &amp; W Capital'!$D$16))*$C193*F$172</f>
        <v>0</v>
      </c>
      <c r="G193" s="136">
        <f>((E135*(1-'5.Closing Stock &amp; W Capital'!$D$16))+(D135*'5.Closing Stock &amp; W Capital'!$D$16))*$C193*G$172</f>
        <v>0</v>
      </c>
      <c r="H193" s="136">
        <f>((F135*(1-'5.Closing Stock &amp; W Capital'!$D$16))+(E135*'5.Closing Stock &amp; W Capital'!$D$16))*$C193*H$172</f>
        <v>0</v>
      </c>
      <c r="I193" s="136">
        <f>((G135*(1-'5.Closing Stock &amp; W Capital'!$D$16))+(F135*'5.Closing Stock &amp; W Capital'!$D$16))*$C193*I$172</f>
        <v>0</v>
      </c>
      <c r="J193" s="136">
        <f>((H135*(1-'5.Closing Stock &amp; W Capital'!$D$16))+(G135*'5.Closing Stock &amp; W Capital'!$D$16))*$C193*J$172</f>
        <v>0</v>
      </c>
      <c r="K193" s="62"/>
      <c r="L193" s="62"/>
    </row>
    <row r="194" spans="1:12">
      <c r="A194" s="63">
        <f t="shared" si="32"/>
        <v>0</v>
      </c>
      <c r="B194" s="63" t="s">
        <v>350</v>
      </c>
      <c r="C194" s="191"/>
      <c r="D194" s="136">
        <f>(B136*(1-'5.Closing Stock &amp; W Capital'!$D$16))*$C194*D$172</f>
        <v>0</v>
      </c>
      <c r="E194" s="136">
        <f>((C136*(1-'5.Closing Stock &amp; W Capital'!$D$16))+(B136*'5.Closing Stock &amp; W Capital'!$D$16))*$C194*E$172</f>
        <v>0</v>
      </c>
      <c r="F194" s="136">
        <f>((D136*(1-'5.Closing Stock &amp; W Capital'!$D$16))+(C136*'5.Closing Stock &amp; W Capital'!$D$16))*$C194*F$172</f>
        <v>0</v>
      </c>
      <c r="G194" s="136">
        <f>((E136*(1-'5.Closing Stock &amp; W Capital'!$D$16))+(D136*'5.Closing Stock &amp; W Capital'!$D$16))*$C194*G$172</f>
        <v>0</v>
      </c>
      <c r="H194" s="136">
        <f>((F136*(1-'5.Closing Stock &amp; W Capital'!$D$16))+(E136*'5.Closing Stock &amp; W Capital'!$D$16))*$C194*H$172</f>
        <v>0</v>
      </c>
      <c r="I194" s="136">
        <f>((G136*(1-'5.Closing Stock &amp; W Capital'!$D$16))+(F136*'5.Closing Stock &amp; W Capital'!$D$16))*$C194*I$172</f>
        <v>0</v>
      </c>
      <c r="J194" s="136">
        <f>((H136*(1-'5.Closing Stock &amp; W Capital'!$D$16))+(G136*'5.Closing Stock &amp; W Capital'!$D$16))*$C194*J$172</f>
        <v>0</v>
      </c>
      <c r="K194" s="62"/>
      <c r="L194" s="62"/>
    </row>
    <row r="195" spans="1:12">
      <c r="A195" s="63" t="str">
        <f t="shared" si="32"/>
        <v>Groundnut</v>
      </c>
      <c r="B195" s="63" t="s">
        <v>350</v>
      </c>
      <c r="C195" s="191"/>
      <c r="D195" s="136">
        <f>(B137*(1-'5.Closing Stock &amp; W Capital'!$D$16))*$C195*D$172</f>
        <v>0</v>
      </c>
      <c r="E195" s="136">
        <f>((C137*(1-'5.Closing Stock &amp; W Capital'!$D$16))+(B137*'5.Closing Stock &amp; W Capital'!$D$16))*$C195*E$172</f>
        <v>0</v>
      </c>
      <c r="F195" s="136">
        <f>((D137*(1-'5.Closing Stock &amp; W Capital'!$D$16))+(C137*'5.Closing Stock &amp; W Capital'!$D$16))*$C195*F$172</f>
        <v>0</v>
      </c>
      <c r="G195" s="136">
        <f>((E137*(1-'5.Closing Stock &amp; W Capital'!$D$16))+(D137*'5.Closing Stock &amp; W Capital'!$D$16))*$C195*G$172</f>
        <v>0</v>
      </c>
      <c r="H195" s="136">
        <f>((F137*(1-'5.Closing Stock &amp; W Capital'!$D$16))+(E137*'5.Closing Stock &amp; W Capital'!$D$16))*$C195*H$172</f>
        <v>0</v>
      </c>
      <c r="I195" s="136">
        <f>((G137*(1-'5.Closing Stock &amp; W Capital'!$D$16))+(F137*'5.Closing Stock &amp; W Capital'!$D$16))*$C195*I$172</f>
        <v>0</v>
      </c>
      <c r="J195" s="136">
        <f>((H137*(1-'5.Closing Stock &amp; W Capital'!$D$16))+(G137*'5.Closing Stock &amp; W Capital'!$D$16))*$C195*J$172</f>
        <v>0</v>
      </c>
      <c r="K195" s="62"/>
      <c r="L195" s="62"/>
    </row>
    <row r="196" spans="1:12">
      <c r="A196" s="63">
        <f t="shared" si="32"/>
        <v>0</v>
      </c>
      <c r="B196" s="63" t="s">
        <v>350</v>
      </c>
      <c r="C196" s="191"/>
      <c r="D196" s="136">
        <f>(B138*(1-'5.Closing Stock &amp; W Capital'!$D$16))*$C196*D$172</f>
        <v>0</v>
      </c>
      <c r="E196" s="136">
        <f>((C138*(1-'5.Closing Stock &amp; W Capital'!$D$16))+(B138*'5.Closing Stock &amp; W Capital'!$D$16))*$C196*E$172</f>
        <v>0</v>
      </c>
      <c r="F196" s="136">
        <f>((D138*(1-'5.Closing Stock &amp; W Capital'!$D$16))+(C138*'5.Closing Stock &amp; W Capital'!$D$16))*$C196*F$172</f>
        <v>0</v>
      </c>
      <c r="G196" s="136">
        <f>((E138*(1-'5.Closing Stock &amp; W Capital'!$D$16))+(D138*'5.Closing Stock &amp; W Capital'!$D$16))*$C196*G$172</f>
        <v>0</v>
      </c>
      <c r="H196" s="136">
        <f>((F138*(1-'5.Closing Stock &amp; W Capital'!$D$16))+(E138*'5.Closing Stock &amp; W Capital'!$D$16))*$C196*H$172</f>
        <v>0</v>
      </c>
      <c r="I196" s="136">
        <f>((G138*(1-'5.Closing Stock &amp; W Capital'!$D$16))+(F138*'5.Closing Stock &amp; W Capital'!$D$16))*$C196*I$172</f>
        <v>0</v>
      </c>
      <c r="J196" s="136">
        <f>((H138*(1-'5.Closing Stock &amp; W Capital'!$D$16))+(G138*'5.Closing Stock &amp; W Capital'!$D$16))*$C196*J$172</f>
        <v>0</v>
      </c>
      <c r="K196" s="62"/>
      <c r="L196" s="62"/>
    </row>
    <row r="197" spans="1:12">
      <c r="A197" s="63">
        <f t="shared" si="32"/>
        <v>0</v>
      </c>
      <c r="B197" s="63" t="s">
        <v>350</v>
      </c>
      <c r="C197" s="191"/>
      <c r="D197" s="136">
        <f>(B139*(1-'5.Closing Stock &amp; W Capital'!$D$16))*$C197*D$172</f>
        <v>0</v>
      </c>
      <c r="E197" s="136">
        <f>((C139*(1-'5.Closing Stock &amp; W Capital'!$D$16))+(B139*'5.Closing Stock &amp; W Capital'!$D$16))*$C197*E$172</f>
        <v>0</v>
      </c>
      <c r="F197" s="136">
        <f>((D139*(1-'5.Closing Stock &amp; W Capital'!$D$16))+(C139*'5.Closing Stock &amp; W Capital'!$D$16))*$C197*F$172</f>
        <v>0</v>
      </c>
      <c r="G197" s="136">
        <f>((E139*(1-'5.Closing Stock &amp; W Capital'!$D$16))+(D139*'5.Closing Stock &amp; W Capital'!$D$16))*$C197*G$172</f>
        <v>0</v>
      </c>
      <c r="H197" s="136">
        <f>((F139*(1-'5.Closing Stock &amp; W Capital'!$D$16))+(E139*'5.Closing Stock &amp; W Capital'!$D$16))*$C197*H$172</f>
        <v>0</v>
      </c>
      <c r="I197" s="136">
        <f>((G139*(1-'5.Closing Stock &amp; W Capital'!$D$16))+(F139*'5.Closing Stock &amp; W Capital'!$D$16))*$C197*I$172</f>
        <v>0</v>
      </c>
      <c r="J197" s="136">
        <f>((H139*(1-'5.Closing Stock &amp; W Capital'!$D$16))+(G139*'5.Closing Stock &amp; W Capital'!$D$16))*$C197*J$172</f>
        <v>0</v>
      </c>
      <c r="K197" s="62"/>
      <c r="L197" s="62"/>
    </row>
    <row r="198" spans="1:12">
      <c r="A198" s="63">
        <f t="shared" si="32"/>
        <v>0</v>
      </c>
      <c r="B198" s="63" t="s">
        <v>350</v>
      </c>
      <c r="C198" s="191"/>
      <c r="D198" s="136">
        <f>(B140*(1-'5.Closing Stock &amp; W Capital'!$D$16))*$C198*D$172</f>
        <v>0</v>
      </c>
      <c r="E198" s="136">
        <f>((C140*(1-'5.Closing Stock &amp; W Capital'!$D$16))+(B140*'5.Closing Stock &amp; W Capital'!$D$16))*$C198*E$172</f>
        <v>0</v>
      </c>
      <c r="F198" s="136">
        <f>((D140*(1-'5.Closing Stock &amp; W Capital'!$D$16))+(C140*'5.Closing Stock &amp; W Capital'!$D$16))*$C198*F$172</f>
        <v>0</v>
      </c>
      <c r="G198" s="136">
        <f>((E140*(1-'5.Closing Stock &amp; W Capital'!$D$16))+(D140*'5.Closing Stock &amp; W Capital'!$D$16))*$C198*G$172</f>
        <v>0</v>
      </c>
      <c r="H198" s="136">
        <f>((F140*(1-'5.Closing Stock &amp; W Capital'!$D$16))+(E140*'5.Closing Stock &amp; W Capital'!$D$16))*$C198*H$172</f>
        <v>0</v>
      </c>
      <c r="I198" s="136">
        <f>((G140*(1-'5.Closing Stock &amp; W Capital'!$D$16))+(F140*'5.Closing Stock &amp; W Capital'!$D$16))*$C198*I$172</f>
        <v>0</v>
      </c>
      <c r="J198" s="136">
        <f>((H140*(1-'5.Closing Stock &amp; W Capital'!$D$16))+(G140*'5.Closing Stock &amp; W Capital'!$D$16))*$C198*J$172</f>
        <v>0</v>
      </c>
      <c r="K198" s="62"/>
      <c r="L198" s="62"/>
    </row>
    <row r="199" spans="1:12">
      <c r="A199" s="63"/>
      <c r="B199" s="63" t="s">
        <v>350</v>
      </c>
      <c r="C199" s="191"/>
      <c r="D199" s="136">
        <f>(B141*(1-'5.Closing Stock &amp; W Capital'!$D$16))*$C199*D$172</f>
        <v>0</v>
      </c>
      <c r="E199" s="136">
        <f>((C141*(1-'5.Closing Stock &amp; W Capital'!$D$16))+(B141*'5.Closing Stock &amp; W Capital'!$D$16))*$C199*E$172</f>
        <v>0</v>
      </c>
      <c r="F199" s="136">
        <f>((D141*(1-'5.Closing Stock &amp; W Capital'!$D$16))+(C141*'5.Closing Stock &amp; W Capital'!$D$16))*$C199*F$172</f>
        <v>0</v>
      </c>
      <c r="G199" s="136">
        <f>((E141*(1-'5.Closing Stock &amp; W Capital'!$D$16))+(D141*'5.Closing Stock &amp; W Capital'!$D$16))*$C199*G$172</f>
        <v>0</v>
      </c>
      <c r="H199" s="136">
        <f>((F141*(1-'5.Closing Stock &amp; W Capital'!$D$16))+(E141*'5.Closing Stock &amp; W Capital'!$D$16))*$C199*H$172</f>
        <v>0</v>
      </c>
      <c r="I199" s="136">
        <f>((G141*(1-'5.Closing Stock &amp; W Capital'!$D$16))+(F141*'5.Closing Stock &amp; W Capital'!$D$16))*$C199*I$172</f>
        <v>0</v>
      </c>
      <c r="J199" s="136">
        <f>((H141*(1-'5.Closing Stock &amp; W Capital'!$D$16))+(G141*'5.Closing Stock &amp; W Capital'!$D$16))*$C199*J$172</f>
        <v>0</v>
      </c>
      <c r="K199" s="62"/>
      <c r="L199" s="62"/>
    </row>
    <row r="200" spans="1:12">
      <c r="A200" s="65" t="s">
        <v>284</v>
      </c>
      <c r="B200" s="63" t="s">
        <v>350</v>
      </c>
      <c r="C200" s="169">
        <v>50</v>
      </c>
      <c r="D200" s="136">
        <f t="shared" ref="D200:J200" si="33">B65*$C$200*D172</f>
        <v>50399.999999999993</v>
      </c>
      <c r="E200" s="136">
        <f t="shared" si="33"/>
        <v>52919.999999999993</v>
      </c>
      <c r="F200" s="136">
        <f t="shared" si="33"/>
        <v>55565.999999999993</v>
      </c>
      <c r="G200" s="136">
        <f t="shared" si="33"/>
        <v>58344.299999999996</v>
      </c>
      <c r="H200" s="136">
        <f t="shared" si="33"/>
        <v>61261.514999999999</v>
      </c>
      <c r="I200" s="136">
        <f t="shared" si="33"/>
        <v>68919.204375000016</v>
      </c>
      <c r="J200" s="136">
        <f t="shared" si="33"/>
        <v>77189.50890000003</v>
      </c>
      <c r="K200" s="62"/>
      <c r="L200" s="62"/>
    </row>
    <row r="201" spans="1:12">
      <c r="A201" s="65"/>
      <c r="B201" s="65"/>
      <c r="C201" s="65"/>
      <c r="D201" s="63"/>
      <c r="E201" s="63"/>
      <c r="F201" s="63"/>
      <c r="G201" s="63"/>
      <c r="H201" s="63"/>
      <c r="I201" s="63"/>
      <c r="J201" s="63"/>
      <c r="K201" s="62"/>
      <c r="L201" s="62"/>
    </row>
    <row r="202" spans="1:12">
      <c r="A202" s="65" t="str">
        <f t="shared" ref="A202:A220" si="34">A143</f>
        <v>Grain Crop Production Details</v>
      </c>
      <c r="B202" s="65"/>
      <c r="C202" s="65"/>
      <c r="D202" s="63"/>
      <c r="E202" s="63"/>
      <c r="F202" s="63"/>
      <c r="G202" s="63"/>
      <c r="H202" s="63"/>
      <c r="I202" s="63"/>
      <c r="J202" s="63"/>
      <c r="K202" s="62"/>
      <c r="L202" s="62"/>
    </row>
    <row r="203" spans="1:12">
      <c r="A203" s="65" t="str">
        <f t="shared" si="34"/>
        <v>Paddy</v>
      </c>
      <c r="B203" s="63" t="s">
        <v>350</v>
      </c>
      <c r="C203" s="250">
        <v>2000</v>
      </c>
      <c r="D203" s="136">
        <f>(B144*(1-'5.Closing Stock &amp; W Capital'!$D$16))*$C203*D$172</f>
        <v>0</v>
      </c>
      <c r="E203" s="136">
        <f>((C144*(1-'5.Closing Stock &amp; W Capital'!$D$16))+(B144*'5.Closing Stock &amp; W Capital'!$D$16))*$C203*E$172</f>
        <v>0</v>
      </c>
      <c r="F203" s="136">
        <f>((D144*(1-'5.Closing Stock &amp; W Capital'!$D$16))+(C144*'5.Closing Stock &amp; W Capital'!$D$16))*$C203*F$172</f>
        <v>0</v>
      </c>
      <c r="G203" s="136">
        <f>((E144*(1-'5.Closing Stock &amp; W Capital'!$D$16))+(D144*'5.Closing Stock &amp; W Capital'!$D$16))*$C203*G$172</f>
        <v>0</v>
      </c>
      <c r="H203" s="136">
        <f>((F144*(1-'5.Closing Stock &amp; W Capital'!$D$16))+(E144*'5.Closing Stock &amp; W Capital'!$D$16))*$C203*H$172</f>
        <v>0</v>
      </c>
      <c r="I203" s="136">
        <f>((G144*(1-'5.Closing Stock &amp; W Capital'!$D$16))+(F144*'5.Closing Stock &amp; W Capital'!$D$16))*$C203*I$172</f>
        <v>0</v>
      </c>
      <c r="J203" s="136">
        <f>((H144*(1-'5.Closing Stock &amp; W Capital'!$D$16))+(G144*'5.Closing Stock &amp; W Capital'!$D$16))*$C203*J$172</f>
        <v>0</v>
      </c>
      <c r="K203" s="62"/>
      <c r="L203" s="62"/>
    </row>
    <row r="204" spans="1:12">
      <c r="A204" s="65" t="e">
        <f t="shared" si="34"/>
        <v>#REF!</v>
      </c>
      <c r="B204" s="63" t="s">
        <v>350</v>
      </c>
      <c r="C204" s="191">
        <v>1000</v>
      </c>
      <c r="D204" s="136" t="e">
        <f>(B145*(1-'5.Closing Stock &amp; W Capital'!$D$16))*$C204*D$172</f>
        <v>#REF!</v>
      </c>
      <c r="E204" s="136" t="e">
        <f>((C145*(1-'5.Closing Stock &amp; W Capital'!$D$16))+(B145*'5.Closing Stock &amp; W Capital'!$D$16))*$C204*E$172</f>
        <v>#REF!</v>
      </c>
      <c r="F204" s="136" t="e">
        <f>((D145*(1-'5.Closing Stock &amp; W Capital'!$D$16))+(C145*'5.Closing Stock &amp; W Capital'!$D$16))*$C204*F$172</f>
        <v>#REF!</v>
      </c>
      <c r="G204" s="136" t="e">
        <f>((E145*(1-'5.Closing Stock &amp; W Capital'!$D$16))+(D145*'5.Closing Stock &amp; W Capital'!$D$16))*$C204*G$172</f>
        <v>#REF!</v>
      </c>
      <c r="H204" s="136" t="e">
        <f>((F145*(1-'5.Closing Stock &amp; W Capital'!$D$16))+(E145*'5.Closing Stock &amp; W Capital'!$D$16))*$C204*H$172</f>
        <v>#REF!</v>
      </c>
      <c r="I204" s="136" t="e">
        <f>((G145*(1-'5.Closing Stock &amp; W Capital'!$D$16))+(F145*'5.Closing Stock &amp; W Capital'!$D$16))*$C204*I$172</f>
        <v>#REF!</v>
      </c>
      <c r="J204" s="136" t="e">
        <f>((H145*(1-'5.Closing Stock &amp; W Capital'!$D$16))+(G145*'5.Closing Stock &amp; W Capital'!$D$16))*$C204*J$172</f>
        <v>#REF!</v>
      </c>
      <c r="K204" s="62"/>
      <c r="L204" s="62"/>
    </row>
    <row r="205" spans="1:12">
      <c r="A205" s="65" t="e">
        <f t="shared" si="34"/>
        <v>#REF!</v>
      </c>
      <c r="B205" s="63" t="s">
        <v>350</v>
      </c>
      <c r="C205" s="191">
        <v>1500</v>
      </c>
      <c r="D205" s="136" t="e">
        <f>(B146*(1-'5.Closing Stock &amp; W Capital'!$D$16))*$C205*D$172</f>
        <v>#REF!</v>
      </c>
      <c r="E205" s="136" t="e">
        <f>((C146*(1-'5.Closing Stock &amp; W Capital'!$D$16))+(B146*'5.Closing Stock &amp; W Capital'!$D$16))*$C205*E$172</f>
        <v>#REF!</v>
      </c>
      <c r="F205" s="136" t="e">
        <f>((D146*(1-'5.Closing Stock &amp; W Capital'!$D$16))+(C146*'5.Closing Stock &amp; W Capital'!$D$16))*$C205*F$172</f>
        <v>#REF!</v>
      </c>
      <c r="G205" s="136" t="e">
        <f>((E146*(1-'5.Closing Stock &amp; W Capital'!$D$16))+(D146*'5.Closing Stock &amp; W Capital'!$D$16))*$C205*G$172</f>
        <v>#REF!</v>
      </c>
      <c r="H205" s="136" t="e">
        <f>((F146*(1-'5.Closing Stock &amp; W Capital'!$D$16))+(E146*'5.Closing Stock &amp; W Capital'!$D$16))*$C205*H$172</f>
        <v>#REF!</v>
      </c>
      <c r="I205" s="136" t="e">
        <f>((G146*(1-'5.Closing Stock &amp; W Capital'!$D$16))+(F146*'5.Closing Stock &amp; W Capital'!$D$16))*$C205*I$172</f>
        <v>#REF!</v>
      </c>
      <c r="J205" s="136" t="e">
        <f>((H146*(1-'5.Closing Stock &amp; W Capital'!$D$16))+(G146*'5.Closing Stock &amp; W Capital'!$D$16))*$C205*J$172</f>
        <v>#REF!</v>
      </c>
      <c r="K205" s="62"/>
      <c r="L205" s="62"/>
    </row>
    <row r="206" spans="1:12">
      <c r="A206" s="65" t="str">
        <f t="shared" si="34"/>
        <v>-</v>
      </c>
      <c r="B206" s="63" t="s">
        <v>350</v>
      </c>
      <c r="C206" s="191">
        <v>3000</v>
      </c>
      <c r="D206" s="136">
        <f>(B147*(1-'5.Closing Stock &amp; W Capital'!$D$16))*$C206*D$172</f>
        <v>0</v>
      </c>
      <c r="E206" s="136">
        <f>((C147*(1-'5.Closing Stock &amp; W Capital'!$D$16))+(B147*'5.Closing Stock &amp; W Capital'!$D$16))*$C206*E$172</f>
        <v>0</v>
      </c>
      <c r="F206" s="136">
        <f>((D147*(1-'5.Closing Stock &amp; W Capital'!$D$16))+(C147*'5.Closing Stock &amp; W Capital'!$D$16))*$C206*F$172</f>
        <v>0</v>
      </c>
      <c r="G206" s="136">
        <f>((E147*(1-'5.Closing Stock &amp; W Capital'!$D$16))+(D147*'5.Closing Stock &amp; W Capital'!$D$16))*$C206*G$172</f>
        <v>0</v>
      </c>
      <c r="H206" s="136">
        <f>((F147*(1-'5.Closing Stock &amp; W Capital'!$D$16))+(E147*'5.Closing Stock &amp; W Capital'!$D$16))*$C206*H$172</f>
        <v>0</v>
      </c>
      <c r="I206" s="136">
        <f>((G147*(1-'5.Closing Stock &amp; W Capital'!$D$16))+(F147*'5.Closing Stock &amp; W Capital'!$D$16))*$C206*I$172</f>
        <v>0</v>
      </c>
      <c r="J206" s="136">
        <f>((H147*(1-'5.Closing Stock &amp; W Capital'!$D$16))+(G147*'5.Closing Stock &amp; W Capital'!$D$16))*$C206*J$172</f>
        <v>0</v>
      </c>
      <c r="K206" s="62"/>
      <c r="L206" s="62"/>
    </row>
    <row r="207" spans="1:12">
      <c r="A207" s="65" t="e">
        <f t="shared" si="34"/>
        <v>#REF!</v>
      </c>
      <c r="B207" s="63" t="s">
        <v>350</v>
      </c>
      <c r="C207" s="191">
        <v>1500</v>
      </c>
      <c r="D207" s="136" t="e">
        <f>(B148*(1-'5.Closing Stock &amp; W Capital'!$D$16))*$C207*D$172</f>
        <v>#REF!</v>
      </c>
      <c r="E207" s="136" t="e">
        <f>((C148*(1-'5.Closing Stock &amp; W Capital'!$D$16))+(B148*'5.Closing Stock &amp; W Capital'!$D$16))*$C207*E$172</f>
        <v>#REF!</v>
      </c>
      <c r="F207" s="136" t="e">
        <f>((D148*(1-'5.Closing Stock &amp; W Capital'!$D$16))+(C148*'5.Closing Stock &amp; W Capital'!$D$16))*$C207*F$172</f>
        <v>#REF!</v>
      </c>
      <c r="G207" s="136" t="e">
        <f>((E148*(1-'5.Closing Stock &amp; W Capital'!$D$16))+(D148*'5.Closing Stock &amp; W Capital'!$D$16))*$C207*G$172</f>
        <v>#REF!</v>
      </c>
      <c r="H207" s="136" t="e">
        <f>((F148*(1-'5.Closing Stock &amp; W Capital'!$D$16))+(E148*'5.Closing Stock &amp; W Capital'!$D$16))*$C207*H$172</f>
        <v>#REF!</v>
      </c>
      <c r="I207" s="136" t="e">
        <f>((G148*(1-'5.Closing Stock &amp; W Capital'!$D$16))+(F148*'5.Closing Stock &amp; W Capital'!$D$16))*$C207*I$172</f>
        <v>#REF!</v>
      </c>
      <c r="J207" s="136" t="e">
        <f>((H148*(1-'5.Closing Stock &amp; W Capital'!$D$16))+(G148*'5.Closing Stock &amp; W Capital'!$D$16))*$C207*J$172</f>
        <v>#REF!</v>
      </c>
      <c r="K207" s="62"/>
      <c r="L207" s="62"/>
    </row>
    <row r="208" spans="1:12">
      <c r="A208" s="65" t="e">
        <f t="shared" si="34"/>
        <v>#REF!</v>
      </c>
      <c r="B208" s="63" t="s">
        <v>350</v>
      </c>
      <c r="C208" s="169"/>
      <c r="D208" s="136" t="e">
        <f>(B149*(1-'5.Closing Stock &amp; W Capital'!$D$16))*$C208*D$172</f>
        <v>#REF!</v>
      </c>
      <c r="E208" s="136" t="e">
        <f>((C149*(1-'5.Closing Stock &amp; W Capital'!$D$16))+(B149*'5.Closing Stock &amp; W Capital'!$D$16))*$C208*E$172</f>
        <v>#REF!</v>
      </c>
      <c r="F208" s="136" t="e">
        <f>((D149*(1-'5.Closing Stock &amp; W Capital'!$D$16))+(C149*'5.Closing Stock &amp; W Capital'!$D$16))*$C208*F$172</f>
        <v>#REF!</v>
      </c>
      <c r="G208" s="136" t="e">
        <f>((E149*(1-'5.Closing Stock &amp; W Capital'!$D$16))+(D149*'5.Closing Stock &amp; W Capital'!$D$16))*$C208*G$172</f>
        <v>#REF!</v>
      </c>
      <c r="H208" s="136" t="e">
        <f>((F149*(1-'5.Closing Stock &amp; W Capital'!$D$16))+(E149*'5.Closing Stock &amp; W Capital'!$D$16))*$C208*H$172</f>
        <v>#REF!</v>
      </c>
      <c r="I208" s="136" t="e">
        <f>((G149*(1-'5.Closing Stock &amp; W Capital'!$D$16))+(F149*'5.Closing Stock &amp; W Capital'!$D$16))*$C208*I$172</f>
        <v>#REF!</v>
      </c>
      <c r="J208" s="136" t="e">
        <f>((H149*(1-'5.Closing Stock &amp; W Capital'!$D$16))+(G149*'5.Closing Stock &amp; W Capital'!$D$16))*$C208*J$172</f>
        <v>#REF!</v>
      </c>
      <c r="K208" s="62"/>
      <c r="L208" s="62"/>
    </row>
    <row r="209" spans="1:12">
      <c r="A209" s="65" t="e">
        <f t="shared" si="34"/>
        <v>#REF!</v>
      </c>
      <c r="B209" s="63" t="s">
        <v>350</v>
      </c>
      <c r="C209" s="169"/>
      <c r="D209" s="136" t="e">
        <f>(B150*(1-'5.Closing Stock &amp; W Capital'!$D$16))*$C209*D$172</f>
        <v>#REF!</v>
      </c>
      <c r="E209" s="136" t="e">
        <f>((C150*(1-'5.Closing Stock &amp; W Capital'!$D$16))+(B150*'5.Closing Stock &amp; W Capital'!$D$16))*$C209*E$172</f>
        <v>#REF!</v>
      </c>
      <c r="F209" s="136" t="e">
        <f>((D150*(1-'5.Closing Stock &amp; W Capital'!$D$16))+(C150*'5.Closing Stock &amp; W Capital'!$D$16))*$C209*F$172</f>
        <v>#REF!</v>
      </c>
      <c r="G209" s="136" t="e">
        <f>((E150*(1-'5.Closing Stock &amp; W Capital'!$D$16))+(D150*'5.Closing Stock &amp; W Capital'!$D$16))*$C209*G$172</f>
        <v>#REF!</v>
      </c>
      <c r="H209" s="136" t="e">
        <f>((F150*(1-'5.Closing Stock &amp; W Capital'!$D$16))+(E150*'5.Closing Stock &amp; W Capital'!$D$16))*$C209*H$172</f>
        <v>#REF!</v>
      </c>
      <c r="I209" s="136" t="e">
        <f>((G150*(1-'5.Closing Stock &amp; W Capital'!$D$16))+(F150*'5.Closing Stock &amp; W Capital'!$D$16))*$C209*I$172</f>
        <v>#REF!</v>
      </c>
      <c r="J209" s="136" t="e">
        <f>((H150*(1-'5.Closing Stock &amp; W Capital'!$D$16))+(G150*'5.Closing Stock &amp; W Capital'!$D$16))*$C209*J$172</f>
        <v>#REF!</v>
      </c>
      <c r="K209" s="62"/>
      <c r="L209" s="62"/>
    </row>
    <row r="210" spans="1:12">
      <c r="A210" s="65" t="e">
        <f t="shared" si="34"/>
        <v>#REF!</v>
      </c>
      <c r="B210" s="63" t="s">
        <v>350</v>
      </c>
      <c r="C210" s="169"/>
      <c r="D210" s="136" t="e">
        <f>(B151*(1-'5.Closing Stock &amp; W Capital'!$D$16))*$C210*D$172</f>
        <v>#REF!</v>
      </c>
      <c r="E210" s="136" t="e">
        <f>((C151*(1-'5.Closing Stock &amp; W Capital'!$D$16))+(B151*'5.Closing Stock &amp; W Capital'!$D$16))*$C210*E$172</f>
        <v>#REF!</v>
      </c>
      <c r="F210" s="136" t="e">
        <f>((D151*(1-'5.Closing Stock &amp; W Capital'!$D$16))+(C151*'5.Closing Stock &amp; W Capital'!$D$16))*$C210*F$172</f>
        <v>#REF!</v>
      </c>
      <c r="G210" s="136" t="e">
        <f>((E151*(1-'5.Closing Stock &amp; W Capital'!$D$16))+(D151*'5.Closing Stock &amp; W Capital'!$D$16))*$C210*G$172</f>
        <v>#REF!</v>
      </c>
      <c r="H210" s="136" t="e">
        <f>((F151*(1-'5.Closing Stock &amp; W Capital'!$D$16))+(E151*'5.Closing Stock &amp; W Capital'!$D$16))*$C210*H$172</f>
        <v>#REF!</v>
      </c>
      <c r="I210" s="136" t="e">
        <f>((G151*(1-'5.Closing Stock &amp; W Capital'!$D$16))+(F151*'5.Closing Stock &amp; W Capital'!$D$16))*$C210*I$172</f>
        <v>#REF!</v>
      </c>
      <c r="J210" s="136" t="e">
        <f>((H151*(1-'5.Closing Stock &amp; W Capital'!$D$16))+(G151*'5.Closing Stock &amp; W Capital'!$D$16))*$C210*J$172</f>
        <v>#REF!</v>
      </c>
      <c r="K210" s="62"/>
      <c r="L210" s="62"/>
    </row>
    <row r="211" spans="1:12">
      <c r="A211" s="65" t="e">
        <f t="shared" si="34"/>
        <v>#REF!</v>
      </c>
      <c r="B211" s="63" t="s">
        <v>350</v>
      </c>
      <c r="C211" s="169"/>
      <c r="D211" s="136" t="e">
        <f>(B152*(1-'5.Closing Stock &amp; W Capital'!$D$16))*$C211*D$172</f>
        <v>#REF!</v>
      </c>
      <c r="E211" s="136" t="e">
        <f>((C152*(1-'5.Closing Stock &amp; W Capital'!$D$16))+(B152*'5.Closing Stock &amp; W Capital'!$D$16))*$C211*E$172</f>
        <v>#REF!</v>
      </c>
      <c r="F211" s="136" t="e">
        <f>((D152*(1-'5.Closing Stock &amp; W Capital'!$D$16))+(C152*'5.Closing Stock &amp; W Capital'!$D$16))*$C211*F$172</f>
        <v>#REF!</v>
      </c>
      <c r="G211" s="136" t="e">
        <f>((E152*(1-'5.Closing Stock &amp; W Capital'!$D$16))+(D152*'5.Closing Stock &amp; W Capital'!$D$16))*$C211*G$172</f>
        <v>#REF!</v>
      </c>
      <c r="H211" s="136" t="e">
        <f>((F152*(1-'5.Closing Stock &amp; W Capital'!$D$16))+(E152*'5.Closing Stock &amp; W Capital'!$D$16))*$C211*H$172</f>
        <v>#REF!</v>
      </c>
      <c r="I211" s="136" t="e">
        <f>((G152*(1-'5.Closing Stock &amp; W Capital'!$D$16))+(F152*'5.Closing Stock &amp; W Capital'!$D$16))*$C211*I$172</f>
        <v>#REF!</v>
      </c>
      <c r="J211" s="136" t="e">
        <f>((H152*(1-'5.Closing Stock &amp; W Capital'!$D$16))+(G152*'5.Closing Stock &amp; W Capital'!$D$16))*$C211*J$172</f>
        <v>#REF!</v>
      </c>
      <c r="K211" s="62"/>
      <c r="L211" s="62"/>
    </row>
    <row r="212" spans="1:12">
      <c r="A212" s="65" t="e">
        <f t="shared" si="34"/>
        <v>#REF!</v>
      </c>
      <c r="B212" s="63" t="s">
        <v>350</v>
      </c>
      <c r="C212" s="191">
        <v>2000</v>
      </c>
      <c r="D212" s="136" t="e">
        <f>(B153*(1-'5.Closing Stock &amp; W Capital'!$D$16))*$C212*D$172</f>
        <v>#REF!</v>
      </c>
      <c r="E212" s="136" t="e">
        <f>((C153*(1-'5.Closing Stock &amp; W Capital'!$D$16))+(B153*'5.Closing Stock &amp; W Capital'!$D$16))*$C212*E$172</f>
        <v>#REF!</v>
      </c>
      <c r="F212" s="136" t="e">
        <f>((D153*(1-'5.Closing Stock &amp; W Capital'!$D$16))+(C153*'5.Closing Stock &amp; W Capital'!$D$16))*$C212*F$172</f>
        <v>#REF!</v>
      </c>
      <c r="G212" s="136" t="e">
        <f>((E153*(1-'5.Closing Stock &amp; W Capital'!$D$16))+(D153*'5.Closing Stock &amp; W Capital'!$D$16))*$C212*G$172</f>
        <v>#REF!</v>
      </c>
      <c r="H212" s="136" t="e">
        <f>((F153*(1-'5.Closing Stock &amp; W Capital'!$D$16))+(E153*'5.Closing Stock &amp; W Capital'!$D$16))*$C212*H$172</f>
        <v>#REF!</v>
      </c>
      <c r="I212" s="136" t="e">
        <f>((G153*(1-'5.Closing Stock &amp; W Capital'!$D$16))+(F153*'5.Closing Stock &amp; W Capital'!$D$16))*$C212*I$172</f>
        <v>#REF!</v>
      </c>
      <c r="J212" s="136" t="e">
        <f>((H153*(1-'5.Closing Stock &amp; W Capital'!$D$16))+(G153*'5.Closing Stock &amp; W Capital'!$D$16))*$C212*J$172</f>
        <v>#REF!</v>
      </c>
      <c r="K212" s="62"/>
      <c r="L212" s="62"/>
    </row>
    <row r="213" spans="1:12">
      <c r="A213" s="65" t="e">
        <f t="shared" si="34"/>
        <v>#REF!</v>
      </c>
      <c r="B213" s="63" t="s">
        <v>350</v>
      </c>
      <c r="C213" s="191">
        <v>1000</v>
      </c>
      <c r="D213" s="136" t="e">
        <f>(B154*(1-'5.Closing Stock &amp; W Capital'!$D$16))*$C213*D$172</f>
        <v>#REF!</v>
      </c>
      <c r="E213" s="136" t="e">
        <f>((C154*(1-'5.Closing Stock &amp; W Capital'!$D$16))+(B154*'5.Closing Stock &amp; W Capital'!$D$16))*$C213*E$172</f>
        <v>#REF!</v>
      </c>
      <c r="F213" s="136" t="e">
        <f>((D154*(1-'5.Closing Stock &amp; W Capital'!$D$16))+(C154*'5.Closing Stock &amp; W Capital'!$D$16))*$C213*F$172</f>
        <v>#REF!</v>
      </c>
      <c r="G213" s="136" t="e">
        <f>((E154*(1-'5.Closing Stock &amp; W Capital'!$D$16))+(D154*'5.Closing Stock &amp; W Capital'!$D$16))*$C213*G$172</f>
        <v>#REF!</v>
      </c>
      <c r="H213" s="136" t="e">
        <f>((F154*(1-'5.Closing Stock &amp; W Capital'!$D$16))+(E154*'5.Closing Stock &amp; W Capital'!$D$16))*$C213*H$172</f>
        <v>#REF!</v>
      </c>
      <c r="I213" s="136" t="e">
        <f>((G154*(1-'5.Closing Stock &amp; W Capital'!$D$16))+(F154*'5.Closing Stock &amp; W Capital'!$D$16))*$C213*I$172</f>
        <v>#REF!</v>
      </c>
      <c r="J213" s="136" t="e">
        <f>((H154*(1-'5.Closing Stock &amp; W Capital'!$D$16))+(G154*'5.Closing Stock &amp; W Capital'!$D$16))*$C213*J$172</f>
        <v>#REF!</v>
      </c>
      <c r="K213" s="62"/>
      <c r="L213" s="62"/>
    </row>
    <row r="214" spans="1:12">
      <c r="A214" s="65" t="e">
        <f t="shared" si="34"/>
        <v>#REF!</v>
      </c>
      <c r="B214" s="63" t="s">
        <v>350</v>
      </c>
      <c r="C214" s="191">
        <v>1500</v>
      </c>
      <c r="D214" s="136" t="e">
        <f>(B155*(1-'5.Closing Stock &amp; W Capital'!$D$16))*$C214*D$172</f>
        <v>#REF!</v>
      </c>
      <c r="E214" s="136" t="e">
        <f>((C155*(1-'5.Closing Stock &amp; W Capital'!$D$16))+(B155*'5.Closing Stock &amp; W Capital'!$D$16))*$C214*E$172</f>
        <v>#REF!</v>
      </c>
      <c r="F214" s="136" t="e">
        <f>((D155*(1-'5.Closing Stock &amp; W Capital'!$D$16))+(C155*'5.Closing Stock &amp; W Capital'!$D$16))*$C214*F$172</f>
        <v>#REF!</v>
      </c>
      <c r="G214" s="136" t="e">
        <f>((E155*(1-'5.Closing Stock &amp; W Capital'!$D$16))+(D155*'5.Closing Stock &amp; W Capital'!$D$16))*$C214*G$172</f>
        <v>#REF!</v>
      </c>
      <c r="H214" s="136" t="e">
        <f>((F155*(1-'5.Closing Stock &amp; W Capital'!$D$16))+(E155*'5.Closing Stock &amp; W Capital'!$D$16))*$C214*H$172</f>
        <v>#REF!</v>
      </c>
      <c r="I214" s="136" t="e">
        <f>((G155*(1-'5.Closing Stock &amp; W Capital'!$D$16))+(F155*'5.Closing Stock &amp; W Capital'!$D$16))*$C214*I$172</f>
        <v>#REF!</v>
      </c>
      <c r="J214" s="136" t="e">
        <f>((H155*(1-'5.Closing Stock &amp; W Capital'!$D$16))+(G155*'5.Closing Stock &amp; W Capital'!$D$16))*$C214*J$172</f>
        <v>#REF!</v>
      </c>
      <c r="K214" s="62"/>
      <c r="L214" s="62"/>
    </row>
    <row r="215" spans="1:12">
      <c r="A215" s="65" t="e">
        <f t="shared" si="34"/>
        <v>#REF!</v>
      </c>
      <c r="B215" s="63" t="s">
        <v>350</v>
      </c>
      <c r="C215" s="191">
        <v>3000</v>
      </c>
      <c r="D215" s="136" t="e">
        <f>(B156*(1-'5.Closing Stock &amp; W Capital'!$D$16))*$C215*D$172</f>
        <v>#REF!</v>
      </c>
      <c r="E215" s="136" t="e">
        <f>((C156*(1-'5.Closing Stock &amp; W Capital'!$D$16))+(B156*'5.Closing Stock &amp; W Capital'!$D$16))*$C215*E$172</f>
        <v>#REF!</v>
      </c>
      <c r="F215" s="136" t="e">
        <f>((D156*(1-'5.Closing Stock &amp; W Capital'!$D$16))+(C156*'5.Closing Stock &amp; W Capital'!$D$16))*$C215*F$172</f>
        <v>#REF!</v>
      </c>
      <c r="G215" s="136" t="e">
        <f>((E156*(1-'5.Closing Stock &amp; W Capital'!$D$16))+(D156*'5.Closing Stock &amp; W Capital'!$D$16))*$C215*G$172</f>
        <v>#REF!</v>
      </c>
      <c r="H215" s="136" t="e">
        <f>((F156*(1-'5.Closing Stock &amp; W Capital'!$D$16))+(E156*'5.Closing Stock &amp; W Capital'!$D$16))*$C215*H$172</f>
        <v>#REF!</v>
      </c>
      <c r="I215" s="136" t="e">
        <f>((G156*(1-'5.Closing Stock &amp; W Capital'!$D$16))+(F156*'5.Closing Stock &amp; W Capital'!$D$16))*$C215*I$172</f>
        <v>#REF!</v>
      </c>
      <c r="J215" s="136" t="e">
        <f>((H156*(1-'5.Closing Stock &amp; W Capital'!$D$16))+(G156*'5.Closing Stock &amp; W Capital'!$D$16))*$C215*J$172</f>
        <v>#REF!</v>
      </c>
      <c r="K215" s="62"/>
      <c r="L215" s="62"/>
    </row>
    <row r="216" spans="1:12">
      <c r="A216" s="65" t="e">
        <f t="shared" si="34"/>
        <v>#REF!</v>
      </c>
      <c r="B216" s="63" t="s">
        <v>350</v>
      </c>
      <c r="C216" s="191">
        <v>2000</v>
      </c>
      <c r="D216" s="136" t="e">
        <f>(B157*(1-'5.Closing Stock &amp; W Capital'!$D$16))*$C216*D$172</f>
        <v>#REF!</v>
      </c>
      <c r="E216" s="136" t="e">
        <f>((C157*(1-'5.Closing Stock &amp; W Capital'!$D$16))+(B157*'5.Closing Stock &amp; W Capital'!$D$16))*$C216*E$172</f>
        <v>#REF!</v>
      </c>
      <c r="F216" s="136" t="e">
        <f>((D157*(1-'5.Closing Stock &amp; W Capital'!$D$16))+(C157*'5.Closing Stock &amp; W Capital'!$D$16))*$C216*F$172</f>
        <v>#REF!</v>
      </c>
      <c r="G216" s="136" t="e">
        <f>((E157*(1-'5.Closing Stock &amp; W Capital'!$D$16))+(D157*'5.Closing Stock &amp; W Capital'!$D$16))*$C216*G$172</f>
        <v>#REF!</v>
      </c>
      <c r="H216" s="136" t="e">
        <f>((F157*(1-'5.Closing Stock &amp; W Capital'!$D$16))+(E157*'5.Closing Stock &amp; W Capital'!$D$16))*$C216*H$172</f>
        <v>#REF!</v>
      </c>
      <c r="I216" s="136" t="e">
        <f>((G157*(1-'5.Closing Stock &amp; W Capital'!$D$16))+(F157*'5.Closing Stock &amp; W Capital'!$D$16))*$C216*I$172</f>
        <v>#REF!</v>
      </c>
      <c r="J216" s="136" t="e">
        <f>((H157*(1-'5.Closing Stock &amp; W Capital'!$D$16))+(G157*'5.Closing Stock &amp; W Capital'!$D$16))*$C216*J$172</f>
        <v>#REF!</v>
      </c>
      <c r="K216" s="62"/>
      <c r="L216" s="62"/>
    </row>
    <row r="217" spans="1:12">
      <c r="A217" s="65" t="e">
        <f t="shared" si="34"/>
        <v>#REF!</v>
      </c>
      <c r="B217" s="63" t="s">
        <v>350</v>
      </c>
      <c r="C217" s="191"/>
      <c r="D217" s="136" t="e">
        <f>(B158*(1-'5.Closing Stock &amp; W Capital'!$D$16))*$C217*D$172</f>
        <v>#REF!</v>
      </c>
      <c r="E217" s="136" t="e">
        <f>((C158*(1-'5.Closing Stock &amp; W Capital'!$D$16))+(B158*'5.Closing Stock &amp; W Capital'!$D$16))*$C217*E$172</f>
        <v>#REF!</v>
      </c>
      <c r="F217" s="136" t="e">
        <f>((D158*(1-'5.Closing Stock &amp; W Capital'!$D$16))+(C158*'5.Closing Stock &amp; W Capital'!$D$16))*$C217*F$172</f>
        <v>#REF!</v>
      </c>
      <c r="G217" s="136" t="e">
        <f>((E158*(1-'5.Closing Stock &amp; W Capital'!$D$16))+(D158*'5.Closing Stock &amp; W Capital'!$D$16))*$C217*G$172</f>
        <v>#REF!</v>
      </c>
      <c r="H217" s="136" t="e">
        <f>((F158*(1-'5.Closing Stock &amp; W Capital'!$D$16))+(E158*'5.Closing Stock &amp; W Capital'!$D$16))*$C217*H$172</f>
        <v>#REF!</v>
      </c>
      <c r="I217" s="136" t="e">
        <f>((G158*(1-'5.Closing Stock &amp; W Capital'!$D$16))+(F158*'5.Closing Stock &amp; W Capital'!$D$16))*$C217*I$172</f>
        <v>#REF!</v>
      </c>
      <c r="J217" s="136" t="e">
        <f>((H158*(1-'5.Closing Stock &amp; W Capital'!$D$16))+(G158*'5.Closing Stock &amp; W Capital'!$D$16))*$C217*J$172</f>
        <v>#REF!</v>
      </c>
      <c r="K217" s="62"/>
      <c r="L217" s="62"/>
    </row>
    <row r="218" spans="1:12">
      <c r="A218" s="65" t="e">
        <f t="shared" si="34"/>
        <v>#REF!</v>
      </c>
      <c r="B218" s="63" t="s">
        <v>350</v>
      </c>
      <c r="C218" s="191"/>
      <c r="D218" s="136" t="e">
        <f>(B159*(1-'5.Closing Stock &amp; W Capital'!$D$16))*$C218*D$172</f>
        <v>#REF!</v>
      </c>
      <c r="E218" s="136" t="e">
        <f>((C159*(1-'5.Closing Stock &amp; W Capital'!$D$16))+(B159*'5.Closing Stock &amp; W Capital'!$D$16))*$C218*E$172</f>
        <v>#REF!</v>
      </c>
      <c r="F218" s="136" t="e">
        <f>((D159*(1-'5.Closing Stock &amp; W Capital'!$D$16))+(C159*'5.Closing Stock &amp; W Capital'!$D$16))*$C218*F$172</f>
        <v>#REF!</v>
      </c>
      <c r="G218" s="136" t="e">
        <f>((E159*(1-'5.Closing Stock &amp; W Capital'!$D$16))+(D159*'5.Closing Stock &amp; W Capital'!$D$16))*$C218*G$172</f>
        <v>#REF!</v>
      </c>
      <c r="H218" s="136" t="e">
        <f>((F159*(1-'5.Closing Stock &amp; W Capital'!$D$16))+(E159*'5.Closing Stock &amp; W Capital'!$D$16))*$C218*H$172</f>
        <v>#REF!</v>
      </c>
      <c r="I218" s="136" t="e">
        <f>((G159*(1-'5.Closing Stock &amp; W Capital'!$D$16))+(F159*'5.Closing Stock &amp; W Capital'!$D$16))*$C218*I$172</f>
        <v>#REF!</v>
      </c>
      <c r="J218" s="136" t="e">
        <f>((H159*(1-'5.Closing Stock &amp; W Capital'!$D$16))+(G159*'5.Closing Stock &amp; W Capital'!$D$16))*$C218*J$172</f>
        <v>#REF!</v>
      </c>
      <c r="K218" s="62"/>
      <c r="L218" s="62"/>
    </row>
    <row r="219" spans="1:12">
      <c r="A219" s="65" t="e">
        <f t="shared" si="34"/>
        <v>#REF!</v>
      </c>
      <c r="B219" s="63" t="s">
        <v>350</v>
      </c>
      <c r="C219" s="191"/>
      <c r="D219" s="136" t="e">
        <f>(B160*(1-'5.Closing Stock &amp; W Capital'!$D$16))*$C219*D$172</f>
        <v>#REF!</v>
      </c>
      <c r="E219" s="136" t="e">
        <f>((C160*(1-'5.Closing Stock &amp; W Capital'!$D$16))+(B160*'5.Closing Stock &amp; W Capital'!$D$16))*$C219*E$172</f>
        <v>#REF!</v>
      </c>
      <c r="F219" s="136" t="e">
        <f>((D160*(1-'5.Closing Stock &amp; W Capital'!$D$16))+(C160*'5.Closing Stock &amp; W Capital'!$D$16))*$C219*F$172</f>
        <v>#REF!</v>
      </c>
      <c r="G219" s="136" t="e">
        <f>((E160*(1-'5.Closing Stock &amp; W Capital'!$D$16))+(D160*'5.Closing Stock &amp; W Capital'!$D$16))*$C219*G$172</f>
        <v>#REF!</v>
      </c>
      <c r="H219" s="136" t="e">
        <f>((F160*(1-'5.Closing Stock &amp; W Capital'!$D$16))+(E160*'5.Closing Stock &amp; W Capital'!$D$16))*$C219*H$172</f>
        <v>#REF!</v>
      </c>
      <c r="I219" s="136" t="e">
        <f>((G160*(1-'5.Closing Stock &amp; W Capital'!$D$16))+(F160*'5.Closing Stock &amp; W Capital'!$D$16))*$C219*I$172</f>
        <v>#REF!</v>
      </c>
      <c r="J219" s="136" t="e">
        <f>((H160*(1-'5.Closing Stock &amp; W Capital'!$D$16))+(G160*'5.Closing Stock &amp; W Capital'!$D$16))*$C219*J$172</f>
        <v>#REF!</v>
      </c>
      <c r="K219" s="62"/>
      <c r="L219" s="62"/>
    </row>
    <row r="220" spans="1:12">
      <c r="A220" s="65" t="e">
        <f t="shared" si="34"/>
        <v>#REF!</v>
      </c>
      <c r="B220" s="63" t="s">
        <v>350</v>
      </c>
      <c r="C220" s="191"/>
      <c r="D220" s="136" t="e">
        <f>(B161*(1-'5.Closing Stock &amp; W Capital'!$D$16))*$C220*D$172</f>
        <v>#REF!</v>
      </c>
      <c r="E220" s="136" t="e">
        <f>((C161*(1-'5.Closing Stock &amp; W Capital'!$D$16))+(B161*'5.Closing Stock &amp; W Capital'!$D$16))*$C220*E$172</f>
        <v>#REF!</v>
      </c>
      <c r="F220" s="136" t="e">
        <f>((D161*(1-'5.Closing Stock &amp; W Capital'!$D$16))+(C161*'5.Closing Stock &amp; W Capital'!$D$16))*$C220*F$172</f>
        <v>#REF!</v>
      </c>
      <c r="G220" s="136" t="e">
        <f>((E161*(1-'5.Closing Stock &amp; W Capital'!$D$16))+(D161*'5.Closing Stock &amp; W Capital'!$D$16))*$C220*G$172</f>
        <v>#REF!</v>
      </c>
      <c r="H220" s="136" t="e">
        <f>((F161*(1-'5.Closing Stock &amp; W Capital'!$D$16))+(E161*'5.Closing Stock &amp; W Capital'!$D$16))*$C220*H$172</f>
        <v>#REF!</v>
      </c>
      <c r="I220" s="136" t="e">
        <f>((G161*(1-'5.Closing Stock &amp; W Capital'!$D$16))+(F161*'5.Closing Stock &amp; W Capital'!$D$16))*$C220*I$172</f>
        <v>#REF!</v>
      </c>
      <c r="J220" s="136" t="e">
        <f>((H161*(1-'5.Closing Stock &amp; W Capital'!$D$16))+(G161*'5.Closing Stock &amp; W Capital'!$D$16))*$C220*J$172</f>
        <v>#REF!</v>
      </c>
      <c r="K220" s="62"/>
      <c r="L220" s="62"/>
    </row>
    <row r="221" spans="1:12">
      <c r="A221" s="65" t="e">
        <f t="shared" ref="A221:A223" si="35">A162</f>
        <v>#REF!</v>
      </c>
      <c r="B221" s="63" t="s">
        <v>350</v>
      </c>
      <c r="C221" s="191"/>
      <c r="D221" s="136">
        <f>(B162*(1-'5.Closing Stock &amp; W Capital'!$D$16))*$C221*D$172</f>
        <v>0</v>
      </c>
      <c r="E221" s="136">
        <f>((C162*(1-'5.Closing Stock &amp; W Capital'!$D$16))+(B162*'5.Closing Stock &amp; W Capital'!$D$16))*$C221*E$172</f>
        <v>0</v>
      </c>
      <c r="F221" s="136">
        <f>((D162*(1-'5.Closing Stock &amp; W Capital'!$D$16))+(C162*'5.Closing Stock &amp; W Capital'!$D$16))*$C221*F$172</f>
        <v>0</v>
      </c>
      <c r="G221" s="136">
        <f>((E162*(1-'5.Closing Stock &amp; W Capital'!$D$16))+(D162*'5.Closing Stock &amp; W Capital'!$D$16))*$C221*G$172</f>
        <v>0</v>
      </c>
      <c r="H221" s="136">
        <f>((F162*(1-'5.Closing Stock &amp; W Capital'!$D$16))+(E162*'5.Closing Stock &amp; W Capital'!$D$16))*$C221*H$172</f>
        <v>0</v>
      </c>
      <c r="I221" s="136">
        <f>((G162*(1-'5.Closing Stock &amp; W Capital'!$D$16))+(F162*'5.Closing Stock &amp; W Capital'!$D$16))*$C221*I$172</f>
        <v>0</v>
      </c>
      <c r="J221" s="136">
        <f>((H162*(1-'5.Closing Stock &amp; W Capital'!$D$16))+(G162*'5.Closing Stock &amp; W Capital'!$D$16))*$C221*J$172</f>
        <v>0</v>
      </c>
      <c r="K221" s="62"/>
      <c r="L221" s="62"/>
    </row>
    <row r="222" spans="1:12">
      <c r="A222" s="65" t="e">
        <f t="shared" si="35"/>
        <v>#REF!</v>
      </c>
      <c r="B222" s="63" t="s">
        <v>350</v>
      </c>
      <c r="C222" s="191"/>
      <c r="D222" s="136">
        <f>(B163*(1-'5.Closing Stock &amp; W Capital'!$D$16))*$C222*D$172</f>
        <v>0</v>
      </c>
      <c r="E222" s="136">
        <f>((C163*(1-'5.Closing Stock &amp; W Capital'!$D$16))+(B163*'5.Closing Stock &amp; W Capital'!$D$16))*$C222*E$172</f>
        <v>0</v>
      </c>
      <c r="F222" s="136">
        <f>((D163*(1-'5.Closing Stock &amp; W Capital'!$D$16))+(C163*'5.Closing Stock &amp; W Capital'!$D$16))*$C222*F$172</f>
        <v>0</v>
      </c>
      <c r="G222" s="136">
        <f>((E163*(1-'5.Closing Stock &amp; W Capital'!$D$16))+(D163*'5.Closing Stock &amp; W Capital'!$D$16))*$C222*G$172</f>
        <v>0</v>
      </c>
      <c r="H222" s="136">
        <f>((F163*(1-'5.Closing Stock &amp; W Capital'!$D$16))+(E163*'5.Closing Stock &amp; W Capital'!$D$16))*$C222*H$172</f>
        <v>0</v>
      </c>
      <c r="I222" s="136">
        <f>((G163*(1-'5.Closing Stock &amp; W Capital'!$D$16))+(F163*'5.Closing Stock &amp; W Capital'!$D$16))*$C222*I$172</f>
        <v>0</v>
      </c>
      <c r="J222" s="136">
        <f>((H163*(1-'5.Closing Stock &amp; W Capital'!$D$16))+(G163*'5.Closing Stock &amp; W Capital'!$D$16))*$C222*J$172</f>
        <v>0</v>
      </c>
      <c r="K222" s="62"/>
      <c r="L222" s="62"/>
    </row>
    <row r="223" spans="1:12">
      <c r="A223" s="65" t="e">
        <f t="shared" si="35"/>
        <v>#REF!</v>
      </c>
      <c r="B223" s="63" t="s">
        <v>350</v>
      </c>
      <c r="C223" s="191"/>
      <c r="D223" s="136">
        <f>(B164*(1-'5.Closing Stock &amp; W Capital'!$D$16))*$C223*D$172</f>
        <v>0</v>
      </c>
      <c r="E223" s="136">
        <f>((C164*(1-'5.Closing Stock &amp; W Capital'!$D$16))+(B164*'5.Closing Stock &amp; W Capital'!$D$16))*$C223*E$172</f>
        <v>0</v>
      </c>
      <c r="F223" s="136">
        <f>((D164*(1-'5.Closing Stock &amp; W Capital'!$D$16))+(C164*'5.Closing Stock &amp; W Capital'!$D$16))*$C223*F$172</f>
        <v>0</v>
      </c>
      <c r="G223" s="136">
        <f>((E164*(1-'5.Closing Stock &amp; W Capital'!$D$16))+(D164*'5.Closing Stock &amp; W Capital'!$D$16))*$C223*G$172</f>
        <v>0</v>
      </c>
      <c r="H223" s="136">
        <f>((F164*(1-'5.Closing Stock &amp; W Capital'!$D$16))+(E164*'5.Closing Stock &amp; W Capital'!$D$16))*$C223*H$172</f>
        <v>0</v>
      </c>
      <c r="I223" s="136">
        <f>((G164*(1-'5.Closing Stock &amp; W Capital'!$D$16))+(F164*'5.Closing Stock &amp; W Capital'!$D$16))*$C223*I$172</f>
        <v>0</v>
      </c>
      <c r="J223" s="136">
        <f>((H164*(1-'5.Closing Stock &amp; W Capital'!$D$16))+(G164*'5.Closing Stock &amp; W Capital'!$D$16))*$C223*J$172</f>
        <v>0</v>
      </c>
      <c r="K223" s="62"/>
      <c r="L223" s="62"/>
    </row>
    <row r="224" spans="1:12">
      <c r="A224" s="65" t="e">
        <f t="shared" ref="A224:A227" si="36">A165</f>
        <v>#REF!</v>
      </c>
      <c r="B224" s="63" t="s">
        <v>350</v>
      </c>
      <c r="C224" s="191">
        <v>5000</v>
      </c>
      <c r="D224" s="136" t="e">
        <f>(B165*(1-'5.Closing Stock &amp; W Capital'!$D$16))*$C224*D$172</f>
        <v>#REF!</v>
      </c>
      <c r="E224" s="136" t="e">
        <f>((C165*(1-'5.Closing Stock &amp; W Capital'!$D$16))+(B165*'5.Closing Stock &amp; W Capital'!$D$16))*$C224*E$172</f>
        <v>#REF!</v>
      </c>
      <c r="F224" s="136" t="e">
        <f>((D165*(1-'5.Closing Stock &amp; W Capital'!$D$16))+(C165*'5.Closing Stock &amp; W Capital'!$D$16))*$C224*F$172</f>
        <v>#REF!</v>
      </c>
      <c r="G224" s="136" t="e">
        <f>((E165*(1-'5.Closing Stock &amp; W Capital'!$D$16))+(D165*'5.Closing Stock &amp; W Capital'!$D$16))*$C224*G$172</f>
        <v>#REF!</v>
      </c>
      <c r="H224" s="136" t="e">
        <f>((F165*(1-'5.Closing Stock &amp; W Capital'!$D$16))+(E165*'5.Closing Stock &amp; W Capital'!$D$16))*$C224*H$172</f>
        <v>#REF!</v>
      </c>
      <c r="I224" s="136" t="e">
        <f>((G165*(1-'5.Closing Stock &amp; W Capital'!$D$16))+(F165*'5.Closing Stock &amp; W Capital'!$D$16))*$C224*I$172</f>
        <v>#REF!</v>
      </c>
      <c r="J224" s="136" t="e">
        <f>((H165*(1-'5.Closing Stock &amp; W Capital'!$D$16))+(G165*'5.Closing Stock &amp; W Capital'!$D$16))*$C224*J$172</f>
        <v>#REF!</v>
      </c>
      <c r="K224" s="62"/>
      <c r="L224" s="62"/>
    </row>
    <row r="225" spans="1:12">
      <c r="A225" s="65" t="e">
        <f t="shared" si="36"/>
        <v>#REF!</v>
      </c>
      <c r="B225" s="63" t="s">
        <v>350</v>
      </c>
      <c r="C225" s="191"/>
      <c r="D225" s="136" t="e">
        <f>(B166*(1-'5.Closing Stock &amp; W Capital'!$D$16))*$C225*D$172</f>
        <v>#REF!</v>
      </c>
      <c r="E225" s="136" t="e">
        <f>((C166*(1-'5.Closing Stock &amp; W Capital'!$D$16))+(B166*'5.Closing Stock &amp; W Capital'!$D$16))*$C225*E$172</f>
        <v>#REF!</v>
      </c>
      <c r="F225" s="136" t="e">
        <f>((D166*(1-'5.Closing Stock &amp; W Capital'!$D$16))+(C166*'5.Closing Stock &amp; W Capital'!$D$16))*$C225*F$172</f>
        <v>#REF!</v>
      </c>
      <c r="G225" s="136" t="e">
        <f>((E166*(1-'5.Closing Stock &amp; W Capital'!$D$16))+(D166*'5.Closing Stock &amp; W Capital'!$D$16))*$C225*G$172</f>
        <v>#REF!</v>
      </c>
      <c r="H225" s="136" t="e">
        <f>((F166*(1-'5.Closing Stock &amp; W Capital'!$D$16))+(E166*'5.Closing Stock &amp; W Capital'!$D$16))*$C225*H$172</f>
        <v>#REF!</v>
      </c>
      <c r="I225" s="136" t="e">
        <f>((G166*(1-'5.Closing Stock &amp; W Capital'!$D$16))+(F166*'5.Closing Stock &amp; W Capital'!$D$16))*$C225*I$172</f>
        <v>#REF!</v>
      </c>
      <c r="J225" s="136" t="e">
        <f>((H166*(1-'5.Closing Stock &amp; W Capital'!$D$16))+(G166*'5.Closing Stock &amp; W Capital'!$D$16))*$C225*J$172</f>
        <v>#REF!</v>
      </c>
      <c r="K225" s="62"/>
      <c r="L225" s="62"/>
    </row>
    <row r="226" spans="1:12">
      <c r="A226" s="65" t="e">
        <f t="shared" si="36"/>
        <v>#REF!</v>
      </c>
      <c r="B226" s="63" t="s">
        <v>350</v>
      </c>
      <c r="C226" s="191"/>
      <c r="D226" s="136" t="e">
        <f>(B167*(1-'5.Closing Stock &amp; W Capital'!$D$16))*$C226*D$172</f>
        <v>#REF!</v>
      </c>
      <c r="E226" s="136" t="e">
        <f>((C167*(1-'5.Closing Stock &amp; W Capital'!$D$16))+(B167*'5.Closing Stock &amp; W Capital'!$D$16))*$C226*E$172</f>
        <v>#REF!</v>
      </c>
      <c r="F226" s="136" t="e">
        <f>((D167*(1-'5.Closing Stock &amp; W Capital'!$D$16))+(C167*'5.Closing Stock &amp; W Capital'!$D$16))*$C226*F$172</f>
        <v>#REF!</v>
      </c>
      <c r="G226" s="136" t="e">
        <f>((E167*(1-'5.Closing Stock &amp; W Capital'!$D$16))+(D167*'5.Closing Stock &amp; W Capital'!$D$16))*$C226*G$172</f>
        <v>#REF!</v>
      </c>
      <c r="H226" s="136" t="e">
        <f>((F167*(1-'5.Closing Stock &amp; W Capital'!$D$16))+(E167*'5.Closing Stock &amp; W Capital'!$D$16))*$C226*H$172</f>
        <v>#REF!</v>
      </c>
      <c r="I226" s="136" t="e">
        <f>((G167*(1-'5.Closing Stock &amp; W Capital'!$D$16))+(F167*'5.Closing Stock &amp; W Capital'!$D$16))*$C226*I$172</f>
        <v>#REF!</v>
      </c>
      <c r="J226" s="136" t="e">
        <f>((H167*(1-'5.Closing Stock &amp; W Capital'!$D$16))+(G167*'5.Closing Stock &amp; W Capital'!$D$16))*$C226*J$172</f>
        <v>#REF!</v>
      </c>
      <c r="K226" s="62"/>
      <c r="L226" s="62"/>
    </row>
    <row r="227" spans="1:12">
      <c r="A227" s="65" t="e">
        <f t="shared" si="36"/>
        <v>#REF!</v>
      </c>
      <c r="B227" s="63" t="s">
        <v>350</v>
      </c>
      <c r="C227" s="191"/>
      <c r="D227" s="136" t="e">
        <f>(B168*(1-'5.Closing Stock &amp; W Capital'!$D$16))*$C227*D$172</f>
        <v>#REF!</v>
      </c>
      <c r="E227" s="136" t="e">
        <f>((C168*(1-'5.Closing Stock &amp; W Capital'!$D$16))+(B168*'5.Closing Stock &amp; W Capital'!$D$16))*$C227*E$172</f>
        <v>#REF!</v>
      </c>
      <c r="F227" s="136" t="e">
        <f>((D168*(1-'5.Closing Stock &amp; W Capital'!$D$16))+(C168*'5.Closing Stock &amp; W Capital'!$D$16))*$C227*F$172</f>
        <v>#REF!</v>
      </c>
      <c r="G227" s="136" t="e">
        <f>((E168*(1-'5.Closing Stock &amp; W Capital'!$D$16))+(D168*'5.Closing Stock &amp; W Capital'!$D$16))*$C227*G$172</f>
        <v>#REF!</v>
      </c>
      <c r="H227" s="136" t="e">
        <f>((F168*(1-'5.Closing Stock &amp; W Capital'!$D$16))+(E168*'5.Closing Stock &amp; W Capital'!$D$16))*$C227*H$172</f>
        <v>#REF!</v>
      </c>
      <c r="I227" s="136" t="e">
        <f>((G168*(1-'5.Closing Stock &amp; W Capital'!$D$16))+(F168*'5.Closing Stock &amp; W Capital'!$D$16))*$C227*I$172</f>
        <v>#REF!</v>
      </c>
      <c r="J227" s="136" t="e">
        <f>((H168*(1-'5.Closing Stock &amp; W Capital'!$D$16))+(G168*'5.Closing Stock &amp; W Capital'!$D$16))*$C227*J$172</f>
        <v>#REF!</v>
      </c>
      <c r="K227" s="62"/>
      <c r="L227" s="62"/>
    </row>
    <row r="228" spans="1:12">
      <c r="A228" s="65"/>
      <c r="B228" s="65"/>
      <c r="C228" s="65"/>
      <c r="D228" s="63"/>
      <c r="E228" s="63"/>
      <c r="F228" s="63"/>
      <c r="G228" s="63"/>
      <c r="H228" s="63"/>
      <c r="I228" s="63"/>
      <c r="J228" s="63"/>
      <c r="K228" s="62"/>
      <c r="L228" s="62"/>
    </row>
    <row r="229" spans="1:12">
      <c r="A229" s="65" t="s">
        <v>138</v>
      </c>
      <c r="B229" s="65"/>
      <c r="C229" s="65"/>
      <c r="D229" s="138" t="e">
        <f t="shared" ref="D229:J229" si="37">SUM(D178:D228)</f>
        <v>#REF!</v>
      </c>
      <c r="E229" s="138" t="e">
        <f t="shared" si="37"/>
        <v>#REF!</v>
      </c>
      <c r="F229" s="138" t="e">
        <f t="shared" si="37"/>
        <v>#REF!</v>
      </c>
      <c r="G229" s="138" t="e">
        <f t="shared" si="37"/>
        <v>#REF!</v>
      </c>
      <c r="H229" s="138" t="e">
        <f t="shared" si="37"/>
        <v>#REF!</v>
      </c>
      <c r="I229" s="138" t="e">
        <f t="shared" si="37"/>
        <v>#REF!</v>
      </c>
      <c r="J229" s="138" t="e">
        <f t="shared" si="37"/>
        <v>#REF!</v>
      </c>
      <c r="K229" s="62"/>
      <c r="L229" s="62"/>
    </row>
    <row r="230" spans="1:12">
      <c r="A230" s="63"/>
      <c r="B230" s="63"/>
      <c r="C230" s="63"/>
      <c r="D230" s="63"/>
      <c r="E230" s="63"/>
      <c r="F230" s="63"/>
      <c r="G230" s="63"/>
      <c r="H230" s="63"/>
      <c r="I230" s="63"/>
      <c r="J230" s="63"/>
      <c r="K230" s="62"/>
      <c r="L230" s="62"/>
    </row>
    <row r="231" spans="1:12">
      <c r="A231" s="65" t="s">
        <v>137</v>
      </c>
      <c r="B231" s="65"/>
      <c r="C231" s="65"/>
      <c r="D231" s="63"/>
      <c r="E231" s="63"/>
      <c r="F231" s="63"/>
      <c r="G231" s="63"/>
      <c r="H231" s="63"/>
      <c r="I231" s="63"/>
      <c r="J231" s="63"/>
      <c r="K231" s="62"/>
      <c r="L231" s="62"/>
    </row>
    <row r="232" spans="1:12">
      <c r="A232" s="65" t="s">
        <v>302</v>
      </c>
      <c r="B232" s="65"/>
      <c r="C232" s="63"/>
      <c r="D232" s="63"/>
      <c r="E232" s="63"/>
      <c r="F232" s="63"/>
      <c r="G232" s="63"/>
      <c r="H232" s="63"/>
      <c r="I232" s="63"/>
      <c r="J232" s="63"/>
      <c r="K232" s="62"/>
      <c r="L232" s="62"/>
    </row>
    <row r="233" spans="1:12">
      <c r="A233" s="63" t="str">
        <f t="shared" ref="A233:A254" si="38">A178</f>
        <v>Soybean</v>
      </c>
      <c r="B233" s="63" t="s">
        <v>350</v>
      </c>
      <c r="C233" s="187">
        <v>3800</v>
      </c>
      <c r="D233" s="64">
        <f>B68*$C$233*D$172</f>
        <v>0</v>
      </c>
      <c r="E233" s="64">
        <f>C68*$C$233*E$172</f>
        <v>0</v>
      </c>
      <c r="F233" s="64">
        <f>D68*$C$233*F172</f>
        <v>0</v>
      </c>
      <c r="G233" s="64">
        <f>E68*$C$233*G172</f>
        <v>0</v>
      </c>
      <c r="H233" s="64">
        <f>F68*$C$233*H172</f>
        <v>0</v>
      </c>
      <c r="I233" s="64">
        <f>G68*$C$233*I172</f>
        <v>0</v>
      </c>
      <c r="J233" s="64">
        <f>H68*$C$233*J172</f>
        <v>0</v>
      </c>
      <c r="K233" s="62"/>
      <c r="L233" s="62"/>
    </row>
    <row r="234" spans="1:12">
      <c r="A234" s="63" t="str">
        <f t="shared" si="38"/>
        <v>Red Gram/Tur</v>
      </c>
      <c r="B234" s="63" t="s">
        <v>350</v>
      </c>
      <c r="C234" s="187">
        <v>5800</v>
      </c>
      <c r="D234" s="64">
        <f>B69*$C$234*D$172</f>
        <v>0</v>
      </c>
      <c r="E234" s="64">
        <f t="shared" ref="E234:J234" si="39">C69*$C$234*E172</f>
        <v>0</v>
      </c>
      <c r="F234" s="64">
        <f t="shared" si="39"/>
        <v>0</v>
      </c>
      <c r="G234" s="64">
        <f t="shared" si="39"/>
        <v>0</v>
      </c>
      <c r="H234" s="64">
        <f t="shared" si="39"/>
        <v>0</v>
      </c>
      <c r="I234" s="64">
        <f t="shared" si="39"/>
        <v>0</v>
      </c>
      <c r="J234" s="64">
        <f t="shared" si="39"/>
        <v>0</v>
      </c>
      <c r="K234" s="62"/>
      <c r="L234" s="62"/>
    </row>
    <row r="235" spans="1:12">
      <c r="A235" s="63" t="str">
        <f t="shared" si="38"/>
        <v>Paddy/Rice</v>
      </c>
      <c r="B235" s="63" t="s">
        <v>350</v>
      </c>
      <c r="C235" s="187"/>
      <c r="D235" s="64">
        <f>B70*$C$235*D$172</f>
        <v>0</v>
      </c>
      <c r="E235" s="64">
        <f t="shared" ref="E235:J235" si="40">C70*$C$235*E172</f>
        <v>0</v>
      </c>
      <c r="F235" s="64">
        <f t="shared" si="40"/>
        <v>0</v>
      </c>
      <c r="G235" s="64">
        <f t="shared" si="40"/>
        <v>0</v>
      </c>
      <c r="H235" s="64">
        <f t="shared" si="40"/>
        <v>0</v>
      </c>
      <c r="I235" s="64">
        <f t="shared" si="40"/>
        <v>0</v>
      </c>
      <c r="J235" s="64">
        <f t="shared" si="40"/>
        <v>0</v>
      </c>
      <c r="K235" s="62"/>
      <c r="L235" s="62"/>
    </row>
    <row r="236" spans="1:12">
      <c r="A236" s="63" t="str">
        <f t="shared" si="38"/>
        <v>Green Gram/ Moong</v>
      </c>
      <c r="B236" s="63" t="s">
        <v>350</v>
      </c>
      <c r="C236" s="187">
        <v>5800</v>
      </c>
      <c r="D236" s="64">
        <f t="shared" ref="D236:J236" si="41">B71*$C$236*D$172</f>
        <v>0</v>
      </c>
      <c r="E236" s="64">
        <f t="shared" si="41"/>
        <v>0</v>
      </c>
      <c r="F236" s="64">
        <f t="shared" si="41"/>
        <v>0</v>
      </c>
      <c r="G236" s="64">
        <f t="shared" si="41"/>
        <v>0</v>
      </c>
      <c r="H236" s="64">
        <f t="shared" si="41"/>
        <v>0</v>
      </c>
      <c r="I236" s="64">
        <f t="shared" si="41"/>
        <v>0</v>
      </c>
      <c r="J236" s="64">
        <f t="shared" si="41"/>
        <v>0</v>
      </c>
      <c r="K236" s="62"/>
      <c r="L236" s="62"/>
    </row>
    <row r="237" spans="1:12">
      <c r="A237" s="63" t="str">
        <f t="shared" si="38"/>
        <v>Maize</v>
      </c>
      <c r="B237" s="63" t="s">
        <v>350</v>
      </c>
      <c r="C237" s="187"/>
      <c r="D237" s="64">
        <f t="shared" ref="D237:J237" si="42">B72*$C$237*D$172</f>
        <v>0</v>
      </c>
      <c r="E237" s="64">
        <f t="shared" si="42"/>
        <v>0</v>
      </c>
      <c r="F237" s="64">
        <f t="shared" si="42"/>
        <v>0</v>
      </c>
      <c r="G237" s="64">
        <f t="shared" si="42"/>
        <v>0</v>
      </c>
      <c r="H237" s="64">
        <f t="shared" si="42"/>
        <v>0</v>
      </c>
      <c r="I237" s="64">
        <f t="shared" si="42"/>
        <v>0</v>
      </c>
      <c r="J237" s="64">
        <f t="shared" si="42"/>
        <v>0</v>
      </c>
      <c r="K237" s="62"/>
      <c r="L237" s="62"/>
    </row>
    <row r="238" spans="1:12">
      <c r="A238" s="63" t="str">
        <f t="shared" si="38"/>
        <v>Black Gram/Udid</v>
      </c>
      <c r="B238" s="63" t="s">
        <v>350</v>
      </c>
      <c r="C238" s="187">
        <v>6300</v>
      </c>
      <c r="D238" s="64">
        <f t="shared" ref="D238:J238" si="43">B73*$C$238*D$172</f>
        <v>0</v>
      </c>
      <c r="E238" s="64">
        <f t="shared" si="43"/>
        <v>0</v>
      </c>
      <c r="F238" s="64">
        <f t="shared" si="43"/>
        <v>0</v>
      </c>
      <c r="G238" s="64">
        <f t="shared" si="43"/>
        <v>0</v>
      </c>
      <c r="H238" s="64">
        <f t="shared" si="43"/>
        <v>0</v>
      </c>
      <c r="I238" s="64">
        <f t="shared" si="43"/>
        <v>0</v>
      </c>
      <c r="J238" s="64">
        <f t="shared" si="43"/>
        <v>0</v>
      </c>
      <c r="K238" s="62"/>
      <c r="L238" s="62"/>
    </row>
    <row r="239" spans="1:12">
      <c r="A239" s="63" t="str">
        <f t="shared" si="38"/>
        <v>Bajra</v>
      </c>
      <c r="B239" s="63" t="s">
        <v>350</v>
      </c>
      <c r="C239" s="187">
        <v>1800</v>
      </c>
      <c r="D239" s="64">
        <f t="shared" ref="D239:J239" si="44">B74*$C$239*D$172</f>
        <v>0</v>
      </c>
      <c r="E239" s="64">
        <f t="shared" si="44"/>
        <v>0</v>
      </c>
      <c r="F239" s="64">
        <f t="shared" si="44"/>
        <v>0</v>
      </c>
      <c r="G239" s="64">
        <f t="shared" si="44"/>
        <v>0</v>
      </c>
      <c r="H239" s="64">
        <f t="shared" si="44"/>
        <v>0</v>
      </c>
      <c r="I239" s="64">
        <f t="shared" si="44"/>
        <v>0</v>
      </c>
      <c r="J239" s="64">
        <f t="shared" si="44"/>
        <v>0</v>
      </c>
      <c r="K239" s="62"/>
      <c r="L239" s="62"/>
    </row>
    <row r="240" spans="1:12">
      <c r="A240" s="63" t="str">
        <f t="shared" si="38"/>
        <v>Jawar</v>
      </c>
      <c r="B240" s="63" t="s">
        <v>350</v>
      </c>
      <c r="C240" s="187"/>
      <c r="D240" s="64">
        <f t="shared" ref="D240:J240" si="45">B75*$C$240*D$172</f>
        <v>0</v>
      </c>
      <c r="E240" s="64">
        <f t="shared" si="45"/>
        <v>0</v>
      </c>
      <c r="F240" s="64">
        <f t="shared" si="45"/>
        <v>0</v>
      </c>
      <c r="G240" s="64">
        <f t="shared" si="45"/>
        <v>0</v>
      </c>
      <c r="H240" s="64">
        <f t="shared" si="45"/>
        <v>0</v>
      </c>
      <c r="I240" s="64">
        <f t="shared" si="45"/>
        <v>0</v>
      </c>
      <c r="J240" s="64">
        <f t="shared" si="45"/>
        <v>0</v>
      </c>
      <c r="K240" s="62"/>
      <c r="L240" s="62"/>
    </row>
    <row r="241" spans="1:12">
      <c r="A241" s="63" t="str">
        <f t="shared" si="38"/>
        <v>Sunflower</v>
      </c>
      <c r="B241" s="63" t="s">
        <v>350</v>
      </c>
      <c r="C241" s="187"/>
      <c r="D241" s="64">
        <f t="shared" ref="D241:J241" si="46">B76*$C$241*D$172</f>
        <v>0</v>
      </c>
      <c r="E241" s="64">
        <f t="shared" si="46"/>
        <v>0</v>
      </c>
      <c r="F241" s="64">
        <f t="shared" si="46"/>
        <v>0</v>
      </c>
      <c r="G241" s="64">
        <f t="shared" si="46"/>
        <v>0</v>
      </c>
      <c r="H241" s="64">
        <f t="shared" si="46"/>
        <v>0</v>
      </c>
      <c r="I241" s="64">
        <f t="shared" si="46"/>
        <v>0</v>
      </c>
      <c r="J241" s="64">
        <f t="shared" si="46"/>
        <v>0</v>
      </c>
      <c r="K241" s="62"/>
      <c r="L241" s="62"/>
    </row>
    <row r="242" spans="1:12">
      <c r="A242" s="63">
        <f t="shared" si="38"/>
        <v>0</v>
      </c>
      <c r="B242" s="63" t="s">
        <v>350</v>
      </c>
      <c r="C242" s="187"/>
      <c r="D242" s="64">
        <f t="shared" ref="D242:J242" si="47">B77*$C$242*D$172</f>
        <v>0</v>
      </c>
      <c r="E242" s="64">
        <f t="shared" si="47"/>
        <v>0</v>
      </c>
      <c r="F242" s="64">
        <f t="shared" si="47"/>
        <v>0</v>
      </c>
      <c r="G242" s="64">
        <f t="shared" si="47"/>
        <v>0</v>
      </c>
      <c r="H242" s="64">
        <f t="shared" si="47"/>
        <v>0</v>
      </c>
      <c r="I242" s="64">
        <f t="shared" si="47"/>
        <v>0</v>
      </c>
      <c r="J242" s="64">
        <f t="shared" si="47"/>
        <v>0</v>
      </c>
      <c r="K242" s="62"/>
      <c r="L242" s="62"/>
    </row>
    <row r="243" spans="1:12">
      <c r="A243" s="63">
        <f t="shared" si="38"/>
        <v>0</v>
      </c>
      <c r="B243" s="63" t="s">
        <v>350</v>
      </c>
      <c r="C243" s="187">
        <v>4800</v>
      </c>
      <c r="D243" s="64">
        <f t="shared" ref="D243:J243" si="48">B78*$C$243*D$172</f>
        <v>0</v>
      </c>
      <c r="E243" s="64">
        <f t="shared" si="48"/>
        <v>0</v>
      </c>
      <c r="F243" s="64">
        <f t="shared" si="48"/>
        <v>0</v>
      </c>
      <c r="G243" s="64">
        <f t="shared" si="48"/>
        <v>0</v>
      </c>
      <c r="H243" s="64">
        <f t="shared" si="48"/>
        <v>0</v>
      </c>
      <c r="I243" s="64">
        <f t="shared" si="48"/>
        <v>0</v>
      </c>
      <c r="J243" s="64">
        <f t="shared" si="48"/>
        <v>0</v>
      </c>
      <c r="K243" s="62"/>
      <c r="L243" s="62"/>
    </row>
    <row r="244" spans="1:12">
      <c r="A244" s="63">
        <f t="shared" si="38"/>
        <v>0</v>
      </c>
      <c r="B244" s="63" t="s">
        <v>350</v>
      </c>
      <c r="C244" s="187"/>
      <c r="D244" s="64">
        <f t="shared" ref="D244:J244" si="49">B79*$C$244*D$172</f>
        <v>0</v>
      </c>
      <c r="E244" s="64">
        <f t="shared" si="49"/>
        <v>0</v>
      </c>
      <c r="F244" s="64">
        <f t="shared" si="49"/>
        <v>0</v>
      </c>
      <c r="G244" s="64">
        <f t="shared" si="49"/>
        <v>0</v>
      </c>
      <c r="H244" s="64">
        <f t="shared" si="49"/>
        <v>0</v>
      </c>
      <c r="I244" s="64">
        <f t="shared" si="49"/>
        <v>0</v>
      </c>
      <c r="J244" s="64">
        <f t="shared" si="49"/>
        <v>0</v>
      </c>
      <c r="K244" s="62"/>
      <c r="L244" s="62"/>
    </row>
    <row r="245" spans="1:12">
      <c r="A245" s="63">
        <f t="shared" si="38"/>
        <v>0</v>
      </c>
      <c r="B245" s="63" t="s">
        <v>350</v>
      </c>
      <c r="C245" s="187"/>
      <c r="D245" s="64">
        <f t="shared" ref="D245:J245" si="50">B80*$C$245*D$172</f>
        <v>0</v>
      </c>
      <c r="E245" s="64">
        <f t="shared" si="50"/>
        <v>0</v>
      </c>
      <c r="F245" s="64">
        <f t="shared" si="50"/>
        <v>0</v>
      </c>
      <c r="G245" s="64">
        <f t="shared" si="50"/>
        <v>0</v>
      </c>
      <c r="H245" s="64">
        <f t="shared" si="50"/>
        <v>0</v>
      </c>
      <c r="I245" s="64">
        <f t="shared" si="50"/>
        <v>0</v>
      </c>
      <c r="J245" s="64">
        <f t="shared" si="50"/>
        <v>0</v>
      </c>
      <c r="K245" s="62"/>
      <c r="L245" s="62"/>
    </row>
    <row r="246" spans="1:12">
      <c r="A246" s="63">
        <f t="shared" si="38"/>
        <v>0</v>
      </c>
      <c r="B246" s="63" t="s">
        <v>350</v>
      </c>
      <c r="C246" s="187"/>
      <c r="D246" s="64">
        <f t="shared" ref="D246:J246" si="51">B81*$C$246*D$172</f>
        <v>0</v>
      </c>
      <c r="E246" s="64">
        <f t="shared" si="51"/>
        <v>0</v>
      </c>
      <c r="F246" s="64">
        <f t="shared" si="51"/>
        <v>0</v>
      </c>
      <c r="G246" s="64">
        <f t="shared" si="51"/>
        <v>0</v>
      </c>
      <c r="H246" s="64">
        <f t="shared" si="51"/>
        <v>0</v>
      </c>
      <c r="I246" s="64">
        <f t="shared" si="51"/>
        <v>0</v>
      </c>
      <c r="J246" s="64">
        <f t="shared" si="51"/>
        <v>0</v>
      </c>
      <c r="K246" s="62"/>
      <c r="L246" s="62"/>
    </row>
    <row r="247" spans="1:12">
      <c r="A247" s="63">
        <f t="shared" si="38"/>
        <v>0</v>
      </c>
      <c r="B247" s="63" t="s">
        <v>350</v>
      </c>
      <c r="C247" s="187"/>
      <c r="D247" s="64">
        <f t="shared" ref="D247:J247" si="52">B82*$C$247*D$172</f>
        <v>0</v>
      </c>
      <c r="E247" s="64">
        <f t="shared" si="52"/>
        <v>0</v>
      </c>
      <c r="F247" s="64">
        <f t="shared" si="52"/>
        <v>0</v>
      </c>
      <c r="G247" s="64">
        <f t="shared" si="52"/>
        <v>0</v>
      </c>
      <c r="H247" s="64">
        <f t="shared" si="52"/>
        <v>0</v>
      </c>
      <c r="I247" s="64">
        <f t="shared" si="52"/>
        <v>0</v>
      </c>
      <c r="J247" s="64">
        <f t="shared" si="52"/>
        <v>0</v>
      </c>
      <c r="K247" s="62"/>
      <c r="L247" s="62"/>
    </row>
    <row r="248" spans="1:12">
      <c r="A248" s="63">
        <f t="shared" si="38"/>
        <v>0</v>
      </c>
      <c r="B248" s="63" t="s">
        <v>350</v>
      </c>
      <c r="C248" s="187"/>
      <c r="D248" s="64">
        <f t="shared" ref="D248:J248" si="53">B83*$C$248*D$172</f>
        <v>0</v>
      </c>
      <c r="E248" s="64">
        <f t="shared" si="53"/>
        <v>0</v>
      </c>
      <c r="F248" s="64">
        <f t="shared" si="53"/>
        <v>0</v>
      </c>
      <c r="G248" s="64">
        <f t="shared" si="53"/>
        <v>0</v>
      </c>
      <c r="H248" s="64">
        <f t="shared" si="53"/>
        <v>0</v>
      </c>
      <c r="I248" s="64">
        <f t="shared" si="53"/>
        <v>0</v>
      </c>
      <c r="J248" s="64">
        <f t="shared" si="53"/>
        <v>0</v>
      </c>
      <c r="K248" s="62"/>
      <c r="L248" s="62"/>
    </row>
    <row r="249" spans="1:12">
      <c r="A249" s="63">
        <f t="shared" si="38"/>
        <v>0</v>
      </c>
      <c r="B249" s="63" t="s">
        <v>350</v>
      </c>
      <c r="C249" s="187"/>
      <c r="D249" s="64">
        <f t="shared" ref="D249:J255" si="54">B84*$C249*D$172</f>
        <v>0</v>
      </c>
      <c r="E249" s="64">
        <f t="shared" si="54"/>
        <v>0</v>
      </c>
      <c r="F249" s="64">
        <f t="shared" si="54"/>
        <v>0</v>
      </c>
      <c r="G249" s="64">
        <f t="shared" si="54"/>
        <v>0</v>
      </c>
      <c r="H249" s="64">
        <f t="shared" si="54"/>
        <v>0</v>
      </c>
      <c r="I249" s="64">
        <f t="shared" si="54"/>
        <v>0</v>
      </c>
      <c r="J249" s="64">
        <f t="shared" si="54"/>
        <v>0</v>
      </c>
      <c r="K249" s="62"/>
      <c r="L249" s="62"/>
    </row>
    <row r="250" spans="1:12">
      <c r="A250" s="63" t="str">
        <f t="shared" si="38"/>
        <v>Groundnut</v>
      </c>
      <c r="B250" s="63" t="s">
        <v>350</v>
      </c>
      <c r="C250" s="187"/>
      <c r="D250" s="64">
        <f t="shared" si="54"/>
        <v>0</v>
      </c>
      <c r="E250" s="64">
        <f t="shared" si="54"/>
        <v>0</v>
      </c>
      <c r="F250" s="64">
        <f t="shared" si="54"/>
        <v>0</v>
      </c>
      <c r="G250" s="64">
        <f t="shared" si="54"/>
        <v>0</v>
      </c>
      <c r="H250" s="64">
        <f t="shared" si="54"/>
        <v>0</v>
      </c>
      <c r="I250" s="64">
        <f t="shared" si="54"/>
        <v>0</v>
      </c>
      <c r="J250" s="64">
        <f t="shared" si="54"/>
        <v>0</v>
      </c>
      <c r="K250" s="62"/>
      <c r="L250" s="62"/>
    </row>
    <row r="251" spans="1:12">
      <c r="A251" s="63">
        <f t="shared" si="38"/>
        <v>0</v>
      </c>
      <c r="B251" s="63" t="s">
        <v>350</v>
      </c>
      <c r="C251" s="187"/>
      <c r="D251" s="64">
        <f t="shared" si="54"/>
        <v>0</v>
      </c>
      <c r="E251" s="64">
        <f t="shared" si="54"/>
        <v>0</v>
      </c>
      <c r="F251" s="64">
        <f t="shared" si="54"/>
        <v>0</v>
      </c>
      <c r="G251" s="64">
        <f t="shared" si="54"/>
        <v>0</v>
      </c>
      <c r="H251" s="64">
        <f t="shared" si="54"/>
        <v>0</v>
      </c>
      <c r="I251" s="64">
        <f t="shared" si="54"/>
        <v>0</v>
      </c>
      <c r="J251" s="64">
        <f t="shared" si="54"/>
        <v>0</v>
      </c>
      <c r="K251" s="62"/>
      <c r="L251" s="62"/>
    </row>
    <row r="252" spans="1:12">
      <c r="A252" s="63">
        <f t="shared" si="38"/>
        <v>0</v>
      </c>
      <c r="B252" s="63" t="s">
        <v>350</v>
      </c>
      <c r="C252" s="187"/>
      <c r="D252" s="64">
        <f t="shared" si="54"/>
        <v>0</v>
      </c>
      <c r="E252" s="64">
        <f t="shared" si="54"/>
        <v>0</v>
      </c>
      <c r="F252" s="64">
        <f t="shared" si="54"/>
        <v>0</v>
      </c>
      <c r="G252" s="64">
        <f t="shared" si="54"/>
        <v>0</v>
      </c>
      <c r="H252" s="64">
        <f t="shared" si="54"/>
        <v>0</v>
      </c>
      <c r="I252" s="64">
        <f t="shared" si="54"/>
        <v>0</v>
      </c>
      <c r="J252" s="64">
        <f t="shared" si="54"/>
        <v>0</v>
      </c>
      <c r="K252" s="62"/>
      <c r="L252" s="62"/>
    </row>
    <row r="253" spans="1:12">
      <c r="A253" s="63">
        <f t="shared" si="38"/>
        <v>0</v>
      </c>
      <c r="B253" s="63" t="s">
        <v>350</v>
      </c>
      <c r="C253" s="187"/>
      <c r="D253" s="64">
        <f t="shared" si="54"/>
        <v>0</v>
      </c>
      <c r="E253" s="64">
        <f t="shared" si="54"/>
        <v>0</v>
      </c>
      <c r="F253" s="64">
        <f t="shared" si="54"/>
        <v>0</v>
      </c>
      <c r="G253" s="64">
        <f t="shared" si="54"/>
        <v>0</v>
      </c>
      <c r="H253" s="64">
        <f t="shared" si="54"/>
        <v>0</v>
      </c>
      <c r="I253" s="64">
        <f t="shared" si="54"/>
        <v>0</v>
      </c>
      <c r="J253" s="64">
        <f t="shared" si="54"/>
        <v>0</v>
      </c>
      <c r="K253" s="62"/>
      <c r="L253" s="62"/>
    </row>
    <row r="254" spans="1:12">
      <c r="A254" s="63">
        <f t="shared" si="38"/>
        <v>0</v>
      </c>
      <c r="B254" s="63" t="s">
        <v>350</v>
      </c>
      <c r="C254" s="187"/>
      <c r="D254" s="64">
        <f t="shared" si="54"/>
        <v>0</v>
      </c>
      <c r="E254" s="64">
        <f t="shared" si="54"/>
        <v>0</v>
      </c>
      <c r="F254" s="64">
        <f t="shared" si="54"/>
        <v>0</v>
      </c>
      <c r="G254" s="64">
        <f t="shared" si="54"/>
        <v>0</v>
      </c>
      <c r="H254" s="64">
        <f t="shared" si="54"/>
        <v>0</v>
      </c>
      <c r="I254" s="64">
        <f t="shared" si="54"/>
        <v>0</v>
      </c>
      <c r="J254" s="64">
        <f t="shared" si="54"/>
        <v>0</v>
      </c>
      <c r="K254" s="62"/>
      <c r="L254" s="62"/>
    </row>
    <row r="255" spans="1:12">
      <c r="A255" s="63">
        <f t="shared" ref="A255:A274" si="55">A201</f>
        <v>0</v>
      </c>
      <c r="B255" s="63"/>
      <c r="C255" s="187"/>
      <c r="D255" s="64">
        <f t="shared" si="54"/>
        <v>0</v>
      </c>
      <c r="E255" s="64">
        <f t="shared" si="54"/>
        <v>0</v>
      </c>
      <c r="F255" s="64">
        <f t="shared" si="54"/>
        <v>0</v>
      </c>
      <c r="G255" s="64">
        <f t="shared" si="54"/>
        <v>0</v>
      </c>
      <c r="H255" s="64">
        <f t="shared" si="54"/>
        <v>0</v>
      </c>
      <c r="I255" s="64">
        <f t="shared" si="54"/>
        <v>0</v>
      </c>
      <c r="J255" s="64">
        <f t="shared" si="54"/>
        <v>0</v>
      </c>
      <c r="K255" s="62"/>
      <c r="L255" s="62"/>
    </row>
    <row r="256" spans="1:12">
      <c r="A256" s="65" t="str">
        <f t="shared" si="55"/>
        <v>Grain Crop Production Details</v>
      </c>
      <c r="B256" s="63"/>
      <c r="C256" s="187"/>
      <c r="D256" s="64"/>
      <c r="E256" s="64"/>
      <c r="F256" s="64"/>
      <c r="G256" s="64"/>
      <c r="H256" s="64"/>
      <c r="I256" s="64"/>
      <c r="J256" s="64"/>
      <c r="K256" s="62"/>
      <c r="L256" s="62"/>
    </row>
    <row r="257" spans="1:12">
      <c r="A257" s="63" t="str">
        <f t="shared" si="55"/>
        <v>Paddy</v>
      </c>
      <c r="B257" s="63" t="s">
        <v>350</v>
      </c>
      <c r="C257" s="187">
        <v>1800</v>
      </c>
      <c r="D257" s="64">
        <f t="shared" ref="D257:D274" si="56">B92*$C257*D$172</f>
        <v>0</v>
      </c>
      <c r="E257" s="64">
        <f t="shared" ref="E257:E274" si="57">C92*$C257*E$172</f>
        <v>0</v>
      </c>
      <c r="F257" s="64">
        <f t="shared" ref="F257:F274" si="58">D92*$C257*F$172</f>
        <v>0</v>
      </c>
      <c r="G257" s="64">
        <f t="shared" ref="G257:G274" si="59">E92*$C257*G$172</f>
        <v>0</v>
      </c>
      <c r="H257" s="64">
        <f t="shared" ref="H257:H274" si="60">F92*$C257*H$172</f>
        <v>0</v>
      </c>
      <c r="I257" s="64">
        <f t="shared" ref="I257:I274" si="61">G92*$C257*I$172</f>
        <v>0</v>
      </c>
      <c r="J257" s="64">
        <f t="shared" ref="J257:J274" si="62">H92*$C257*J$172</f>
        <v>0</v>
      </c>
      <c r="K257" s="62"/>
      <c r="L257" s="62"/>
    </row>
    <row r="258" spans="1:12">
      <c r="A258" s="63" t="e">
        <f t="shared" si="55"/>
        <v>#REF!</v>
      </c>
      <c r="B258" s="63" t="s">
        <v>350</v>
      </c>
      <c r="C258" s="187">
        <v>800</v>
      </c>
      <c r="D258" s="64" t="e">
        <f t="shared" si="56"/>
        <v>#REF!</v>
      </c>
      <c r="E258" s="64" t="e">
        <f t="shared" si="57"/>
        <v>#REF!</v>
      </c>
      <c r="F258" s="64" t="e">
        <f t="shared" si="58"/>
        <v>#REF!</v>
      </c>
      <c r="G258" s="64" t="e">
        <f t="shared" si="59"/>
        <v>#REF!</v>
      </c>
      <c r="H258" s="64" t="e">
        <f t="shared" si="60"/>
        <v>#REF!</v>
      </c>
      <c r="I258" s="64" t="e">
        <f t="shared" si="61"/>
        <v>#REF!</v>
      </c>
      <c r="J258" s="64" t="e">
        <f t="shared" si="62"/>
        <v>#REF!</v>
      </c>
      <c r="K258" s="62"/>
      <c r="L258" s="62"/>
    </row>
    <row r="259" spans="1:12">
      <c r="A259" s="63" t="e">
        <f t="shared" si="55"/>
        <v>#REF!</v>
      </c>
      <c r="B259" s="63" t="s">
        <v>350</v>
      </c>
      <c r="C259" s="187">
        <v>1300</v>
      </c>
      <c r="D259" s="64" t="e">
        <f t="shared" si="56"/>
        <v>#REF!</v>
      </c>
      <c r="E259" s="64" t="e">
        <f t="shared" si="57"/>
        <v>#REF!</v>
      </c>
      <c r="F259" s="64" t="e">
        <f t="shared" si="58"/>
        <v>#REF!</v>
      </c>
      <c r="G259" s="64" t="e">
        <f t="shared" si="59"/>
        <v>#REF!</v>
      </c>
      <c r="H259" s="64" t="e">
        <f t="shared" si="60"/>
        <v>#REF!</v>
      </c>
      <c r="I259" s="64" t="e">
        <f t="shared" si="61"/>
        <v>#REF!</v>
      </c>
      <c r="J259" s="64" t="e">
        <f t="shared" si="62"/>
        <v>#REF!</v>
      </c>
      <c r="K259" s="62"/>
      <c r="L259" s="62"/>
    </row>
    <row r="260" spans="1:12">
      <c r="A260" s="63" t="str">
        <f t="shared" si="55"/>
        <v>-</v>
      </c>
      <c r="B260" s="63" t="s">
        <v>350</v>
      </c>
      <c r="C260" s="187">
        <v>2800</v>
      </c>
      <c r="D260" s="64">
        <f t="shared" si="56"/>
        <v>0</v>
      </c>
      <c r="E260" s="64">
        <f t="shared" si="57"/>
        <v>0</v>
      </c>
      <c r="F260" s="64">
        <f t="shared" si="58"/>
        <v>0</v>
      </c>
      <c r="G260" s="64">
        <f t="shared" si="59"/>
        <v>0</v>
      </c>
      <c r="H260" s="64">
        <f t="shared" si="60"/>
        <v>0</v>
      </c>
      <c r="I260" s="64">
        <f t="shared" si="61"/>
        <v>0</v>
      </c>
      <c r="J260" s="64">
        <f t="shared" si="62"/>
        <v>0</v>
      </c>
      <c r="K260" s="62"/>
      <c r="L260" s="62"/>
    </row>
    <row r="261" spans="1:12">
      <c r="A261" s="63" t="e">
        <f t="shared" si="55"/>
        <v>#REF!</v>
      </c>
      <c r="B261" s="63" t="s">
        <v>350</v>
      </c>
      <c r="C261" s="187">
        <v>1300</v>
      </c>
      <c r="D261" s="64" t="e">
        <f t="shared" si="56"/>
        <v>#REF!</v>
      </c>
      <c r="E261" s="64" t="e">
        <f t="shared" si="57"/>
        <v>#REF!</v>
      </c>
      <c r="F261" s="64" t="e">
        <f t="shared" si="58"/>
        <v>#REF!</v>
      </c>
      <c r="G261" s="64" t="e">
        <f t="shared" si="59"/>
        <v>#REF!</v>
      </c>
      <c r="H261" s="64" t="e">
        <f t="shared" si="60"/>
        <v>#REF!</v>
      </c>
      <c r="I261" s="64" t="e">
        <f t="shared" si="61"/>
        <v>#REF!</v>
      </c>
      <c r="J261" s="64" t="e">
        <f t="shared" si="62"/>
        <v>#REF!</v>
      </c>
      <c r="K261" s="62"/>
      <c r="L261" s="62"/>
    </row>
    <row r="262" spans="1:12">
      <c r="A262" s="63" t="e">
        <f t="shared" si="55"/>
        <v>#REF!</v>
      </c>
      <c r="B262" s="63" t="s">
        <v>350</v>
      </c>
      <c r="C262" s="187"/>
      <c r="D262" s="64" t="e">
        <f t="shared" si="56"/>
        <v>#REF!</v>
      </c>
      <c r="E262" s="64" t="e">
        <f t="shared" si="57"/>
        <v>#REF!</v>
      </c>
      <c r="F262" s="64" t="e">
        <f t="shared" si="58"/>
        <v>#REF!</v>
      </c>
      <c r="G262" s="64" t="e">
        <f t="shared" si="59"/>
        <v>#REF!</v>
      </c>
      <c r="H262" s="64" t="e">
        <f t="shared" si="60"/>
        <v>#REF!</v>
      </c>
      <c r="I262" s="64" t="e">
        <f t="shared" si="61"/>
        <v>#REF!</v>
      </c>
      <c r="J262" s="64" t="e">
        <f t="shared" si="62"/>
        <v>#REF!</v>
      </c>
      <c r="K262" s="62"/>
      <c r="L262" s="62"/>
    </row>
    <row r="263" spans="1:12">
      <c r="A263" s="63" t="e">
        <f t="shared" si="55"/>
        <v>#REF!</v>
      </c>
      <c r="B263" s="63" t="s">
        <v>350</v>
      </c>
      <c r="C263" s="187"/>
      <c r="D263" s="64" t="e">
        <f t="shared" si="56"/>
        <v>#REF!</v>
      </c>
      <c r="E263" s="64" t="e">
        <f t="shared" si="57"/>
        <v>#REF!</v>
      </c>
      <c r="F263" s="64" t="e">
        <f t="shared" si="58"/>
        <v>#REF!</v>
      </c>
      <c r="G263" s="64" t="e">
        <f t="shared" si="59"/>
        <v>#REF!</v>
      </c>
      <c r="H263" s="64" t="e">
        <f t="shared" si="60"/>
        <v>#REF!</v>
      </c>
      <c r="I263" s="64" t="e">
        <f t="shared" si="61"/>
        <v>#REF!</v>
      </c>
      <c r="J263" s="64" t="e">
        <f t="shared" si="62"/>
        <v>#REF!</v>
      </c>
      <c r="K263" s="62"/>
      <c r="L263" s="62"/>
    </row>
    <row r="264" spans="1:12">
      <c r="A264" s="63" t="e">
        <f t="shared" si="55"/>
        <v>#REF!</v>
      </c>
      <c r="B264" s="63" t="s">
        <v>350</v>
      </c>
      <c r="C264" s="187"/>
      <c r="D264" s="64" t="e">
        <f t="shared" si="56"/>
        <v>#REF!</v>
      </c>
      <c r="E264" s="64" t="e">
        <f t="shared" si="57"/>
        <v>#REF!</v>
      </c>
      <c r="F264" s="64" t="e">
        <f t="shared" si="58"/>
        <v>#REF!</v>
      </c>
      <c r="G264" s="64" t="e">
        <f t="shared" si="59"/>
        <v>#REF!</v>
      </c>
      <c r="H264" s="64" t="e">
        <f t="shared" si="60"/>
        <v>#REF!</v>
      </c>
      <c r="I264" s="64" t="e">
        <f t="shared" si="61"/>
        <v>#REF!</v>
      </c>
      <c r="J264" s="64" t="e">
        <f t="shared" si="62"/>
        <v>#REF!</v>
      </c>
      <c r="K264" s="62"/>
      <c r="L264" s="62"/>
    </row>
    <row r="265" spans="1:12">
      <c r="A265" s="63" t="e">
        <f t="shared" si="55"/>
        <v>#REF!</v>
      </c>
      <c r="B265" s="63" t="s">
        <v>350</v>
      </c>
      <c r="C265" s="187"/>
      <c r="D265" s="64" t="e">
        <f t="shared" si="56"/>
        <v>#REF!</v>
      </c>
      <c r="E265" s="64" t="e">
        <f t="shared" si="57"/>
        <v>#REF!</v>
      </c>
      <c r="F265" s="64" t="e">
        <f t="shared" si="58"/>
        <v>#REF!</v>
      </c>
      <c r="G265" s="64" t="e">
        <f t="shared" si="59"/>
        <v>#REF!</v>
      </c>
      <c r="H265" s="64" t="e">
        <f t="shared" si="60"/>
        <v>#REF!</v>
      </c>
      <c r="I265" s="64" t="e">
        <f t="shared" si="61"/>
        <v>#REF!</v>
      </c>
      <c r="J265" s="64" t="e">
        <f t="shared" si="62"/>
        <v>#REF!</v>
      </c>
      <c r="K265" s="62"/>
      <c r="L265" s="62"/>
    </row>
    <row r="266" spans="1:12">
      <c r="A266" s="63" t="e">
        <f t="shared" si="55"/>
        <v>#REF!</v>
      </c>
      <c r="B266" s="63" t="s">
        <v>350</v>
      </c>
      <c r="C266" s="187">
        <v>1800</v>
      </c>
      <c r="D266" s="64" t="e">
        <f t="shared" si="56"/>
        <v>#REF!</v>
      </c>
      <c r="E266" s="64" t="e">
        <f t="shared" si="57"/>
        <v>#REF!</v>
      </c>
      <c r="F266" s="64" t="e">
        <f t="shared" si="58"/>
        <v>#REF!</v>
      </c>
      <c r="G266" s="64" t="e">
        <f t="shared" si="59"/>
        <v>#REF!</v>
      </c>
      <c r="H266" s="64" t="e">
        <f t="shared" si="60"/>
        <v>#REF!</v>
      </c>
      <c r="I266" s="64" t="e">
        <f t="shared" si="61"/>
        <v>#REF!</v>
      </c>
      <c r="J266" s="64" t="e">
        <f t="shared" si="62"/>
        <v>#REF!</v>
      </c>
      <c r="K266" s="62"/>
      <c r="L266" s="62"/>
    </row>
    <row r="267" spans="1:12">
      <c r="A267" s="63" t="e">
        <f t="shared" si="55"/>
        <v>#REF!</v>
      </c>
      <c r="B267" s="63" t="s">
        <v>350</v>
      </c>
      <c r="C267" s="187">
        <v>800</v>
      </c>
      <c r="D267" s="64" t="e">
        <f t="shared" si="56"/>
        <v>#REF!</v>
      </c>
      <c r="E267" s="64" t="e">
        <f t="shared" si="57"/>
        <v>#REF!</v>
      </c>
      <c r="F267" s="64" t="e">
        <f t="shared" si="58"/>
        <v>#REF!</v>
      </c>
      <c r="G267" s="64" t="e">
        <f t="shared" si="59"/>
        <v>#REF!</v>
      </c>
      <c r="H267" s="64" t="e">
        <f t="shared" si="60"/>
        <v>#REF!</v>
      </c>
      <c r="I267" s="64" t="e">
        <f t="shared" si="61"/>
        <v>#REF!</v>
      </c>
      <c r="J267" s="64" t="e">
        <f t="shared" si="62"/>
        <v>#REF!</v>
      </c>
      <c r="K267" s="62"/>
      <c r="L267" s="62"/>
    </row>
    <row r="268" spans="1:12">
      <c r="A268" s="63" t="e">
        <f t="shared" si="55"/>
        <v>#REF!</v>
      </c>
      <c r="B268" s="63" t="s">
        <v>350</v>
      </c>
      <c r="C268" s="187">
        <v>1300</v>
      </c>
      <c r="D268" s="64" t="e">
        <f t="shared" si="56"/>
        <v>#REF!</v>
      </c>
      <c r="E268" s="64" t="e">
        <f t="shared" si="57"/>
        <v>#REF!</v>
      </c>
      <c r="F268" s="64" t="e">
        <f t="shared" si="58"/>
        <v>#REF!</v>
      </c>
      <c r="G268" s="64" t="e">
        <f t="shared" si="59"/>
        <v>#REF!</v>
      </c>
      <c r="H268" s="64" t="e">
        <f t="shared" si="60"/>
        <v>#REF!</v>
      </c>
      <c r="I268" s="64" t="e">
        <f t="shared" si="61"/>
        <v>#REF!</v>
      </c>
      <c r="J268" s="64" t="e">
        <f t="shared" si="62"/>
        <v>#REF!</v>
      </c>
      <c r="K268" s="62"/>
      <c r="L268" s="62"/>
    </row>
    <row r="269" spans="1:12">
      <c r="A269" s="63" t="e">
        <f t="shared" si="55"/>
        <v>#REF!</v>
      </c>
      <c r="B269" s="63" t="s">
        <v>350</v>
      </c>
      <c r="C269" s="187">
        <v>2800</v>
      </c>
      <c r="D269" s="64" t="e">
        <f t="shared" si="56"/>
        <v>#REF!</v>
      </c>
      <c r="E269" s="64" t="e">
        <f t="shared" si="57"/>
        <v>#REF!</v>
      </c>
      <c r="F269" s="64" t="e">
        <f t="shared" si="58"/>
        <v>#REF!</v>
      </c>
      <c r="G269" s="64" t="e">
        <f t="shared" si="59"/>
        <v>#REF!</v>
      </c>
      <c r="H269" s="64" t="e">
        <f t="shared" si="60"/>
        <v>#REF!</v>
      </c>
      <c r="I269" s="64" t="e">
        <f t="shared" si="61"/>
        <v>#REF!</v>
      </c>
      <c r="J269" s="64" t="e">
        <f t="shared" si="62"/>
        <v>#REF!</v>
      </c>
      <c r="K269" s="62"/>
      <c r="L269" s="62"/>
    </row>
    <row r="270" spans="1:12">
      <c r="A270" s="63" t="e">
        <f t="shared" si="55"/>
        <v>#REF!</v>
      </c>
      <c r="B270" s="63" t="s">
        <v>350</v>
      </c>
      <c r="C270" s="187">
        <v>1800</v>
      </c>
      <c r="D270" s="64" t="e">
        <f t="shared" si="56"/>
        <v>#REF!</v>
      </c>
      <c r="E270" s="64" t="e">
        <f t="shared" si="57"/>
        <v>#REF!</v>
      </c>
      <c r="F270" s="64" t="e">
        <f t="shared" si="58"/>
        <v>#REF!</v>
      </c>
      <c r="G270" s="64" t="e">
        <f t="shared" si="59"/>
        <v>#REF!</v>
      </c>
      <c r="H270" s="64" t="e">
        <f t="shared" si="60"/>
        <v>#REF!</v>
      </c>
      <c r="I270" s="64" t="e">
        <f t="shared" si="61"/>
        <v>#REF!</v>
      </c>
      <c r="J270" s="64" t="e">
        <f t="shared" si="62"/>
        <v>#REF!</v>
      </c>
      <c r="K270" s="62"/>
      <c r="L270" s="62"/>
    </row>
    <row r="271" spans="1:12">
      <c r="A271" s="63" t="e">
        <f t="shared" si="55"/>
        <v>#REF!</v>
      </c>
      <c r="B271" s="63" t="s">
        <v>350</v>
      </c>
      <c r="C271" s="187"/>
      <c r="D271" s="64" t="e">
        <f t="shared" si="56"/>
        <v>#REF!</v>
      </c>
      <c r="E271" s="64" t="e">
        <f t="shared" si="57"/>
        <v>#REF!</v>
      </c>
      <c r="F271" s="64" t="e">
        <f t="shared" si="58"/>
        <v>#REF!</v>
      </c>
      <c r="G271" s="64" t="e">
        <f t="shared" si="59"/>
        <v>#REF!</v>
      </c>
      <c r="H271" s="64" t="e">
        <f t="shared" si="60"/>
        <v>#REF!</v>
      </c>
      <c r="I271" s="64" t="e">
        <f t="shared" si="61"/>
        <v>#REF!</v>
      </c>
      <c r="J271" s="64" t="e">
        <f t="shared" si="62"/>
        <v>#REF!</v>
      </c>
      <c r="K271" s="62"/>
      <c r="L271" s="62"/>
    </row>
    <row r="272" spans="1:12">
      <c r="A272" s="63" t="e">
        <f t="shared" si="55"/>
        <v>#REF!</v>
      </c>
      <c r="B272" s="63" t="s">
        <v>350</v>
      </c>
      <c r="C272" s="187"/>
      <c r="D272" s="64" t="e">
        <f t="shared" si="56"/>
        <v>#REF!</v>
      </c>
      <c r="E272" s="64" t="e">
        <f t="shared" si="57"/>
        <v>#REF!</v>
      </c>
      <c r="F272" s="64" t="e">
        <f t="shared" si="58"/>
        <v>#REF!</v>
      </c>
      <c r="G272" s="64" t="e">
        <f t="shared" si="59"/>
        <v>#REF!</v>
      </c>
      <c r="H272" s="64" t="e">
        <f t="shared" si="60"/>
        <v>#REF!</v>
      </c>
      <c r="I272" s="64" t="e">
        <f t="shared" si="61"/>
        <v>#REF!</v>
      </c>
      <c r="J272" s="64" t="e">
        <f t="shared" si="62"/>
        <v>#REF!</v>
      </c>
      <c r="K272" s="62"/>
      <c r="L272" s="62"/>
    </row>
    <row r="273" spans="1:12">
      <c r="A273" s="63" t="e">
        <f t="shared" si="55"/>
        <v>#REF!</v>
      </c>
      <c r="B273" s="63" t="s">
        <v>350</v>
      </c>
      <c r="C273" s="187"/>
      <c r="D273" s="64" t="e">
        <f t="shared" si="56"/>
        <v>#REF!</v>
      </c>
      <c r="E273" s="64" t="e">
        <f t="shared" si="57"/>
        <v>#REF!</v>
      </c>
      <c r="F273" s="64" t="e">
        <f t="shared" si="58"/>
        <v>#REF!</v>
      </c>
      <c r="G273" s="64" t="e">
        <f t="shared" si="59"/>
        <v>#REF!</v>
      </c>
      <c r="H273" s="64" t="e">
        <f t="shared" si="60"/>
        <v>#REF!</v>
      </c>
      <c r="I273" s="64" t="e">
        <f t="shared" si="61"/>
        <v>#REF!</v>
      </c>
      <c r="J273" s="64" t="e">
        <f t="shared" si="62"/>
        <v>#REF!</v>
      </c>
      <c r="K273" s="62"/>
      <c r="L273" s="62"/>
    </row>
    <row r="274" spans="1:12">
      <c r="A274" s="63" t="e">
        <f t="shared" si="55"/>
        <v>#REF!</v>
      </c>
      <c r="B274" s="63" t="s">
        <v>350</v>
      </c>
      <c r="C274" s="187"/>
      <c r="D274" s="64" t="e">
        <f t="shared" si="56"/>
        <v>#REF!</v>
      </c>
      <c r="E274" s="64" t="e">
        <f t="shared" si="57"/>
        <v>#REF!</v>
      </c>
      <c r="F274" s="64" t="e">
        <f t="shared" si="58"/>
        <v>#REF!</v>
      </c>
      <c r="G274" s="64" t="e">
        <f t="shared" si="59"/>
        <v>#REF!</v>
      </c>
      <c r="H274" s="64" t="e">
        <f t="shared" si="60"/>
        <v>#REF!</v>
      </c>
      <c r="I274" s="64" t="e">
        <f t="shared" si="61"/>
        <v>#REF!</v>
      </c>
      <c r="J274" s="64" t="e">
        <f t="shared" si="62"/>
        <v>#REF!</v>
      </c>
      <c r="K274" s="62"/>
      <c r="L274" s="62"/>
    </row>
    <row r="275" spans="1:12">
      <c r="A275" s="63" t="e">
        <f>A224</f>
        <v>#REF!</v>
      </c>
      <c r="B275" s="63" t="s">
        <v>350</v>
      </c>
      <c r="C275" s="187">
        <v>4700</v>
      </c>
      <c r="D275" s="64" t="e">
        <f t="shared" ref="D275:J280" si="63">B113*$C275*D$172</f>
        <v>#REF!</v>
      </c>
      <c r="E275" s="64" t="e">
        <f t="shared" si="63"/>
        <v>#REF!</v>
      </c>
      <c r="F275" s="64" t="e">
        <f t="shared" si="63"/>
        <v>#REF!</v>
      </c>
      <c r="G275" s="64" t="e">
        <f t="shared" si="63"/>
        <v>#REF!</v>
      </c>
      <c r="H275" s="64" t="e">
        <f t="shared" si="63"/>
        <v>#REF!</v>
      </c>
      <c r="I275" s="64" t="e">
        <f t="shared" si="63"/>
        <v>#REF!</v>
      </c>
      <c r="J275" s="64" t="e">
        <f t="shared" si="63"/>
        <v>#REF!</v>
      </c>
      <c r="K275" s="62"/>
      <c r="L275" s="62"/>
    </row>
    <row r="276" spans="1:12">
      <c r="A276" s="63" t="e">
        <f>A225</f>
        <v>#REF!</v>
      </c>
      <c r="B276" s="63" t="s">
        <v>350</v>
      </c>
      <c r="C276" s="187"/>
      <c r="D276" s="64" t="e">
        <f t="shared" si="63"/>
        <v>#REF!</v>
      </c>
      <c r="E276" s="64" t="e">
        <f t="shared" si="63"/>
        <v>#REF!</v>
      </c>
      <c r="F276" s="64" t="e">
        <f t="shared" si="63"/>
        <v>#REF!</v>
      </c>
      <c r="G276" s="64" t="e">
        <f t="shared" si="63"/>
        <v>#REF!</v>
      </c>
      <c r="H276" s="64" t="e">
        <f t="shared" si="63"/>
        <v>#REF!</v>
      </c>
      <c r="I276" s="64" t="e">
        <f t="shared" si="63"/>
        <v>#REF!</v>
      </c>
      <c r="J276" s="64" t="e">
        <f t="shared" si="63"/>
        <v>#REF!</v>
      </c>
      <c r="K276" s="62"/>
      <c r="L276" s="62"/>
    </row>
    <row r="277" spans="1:12">
      <c r="A277" s="63" t="e">
        <f>A226</f>
        <v>#REF!</v>
      </c>
      <c r="B277" s="63" t="s">
        <v>350</v>
      </c>
      <c r="C277" s="187"/>
      <c r="D277" s="64" t="e">
        <f t="shared" si="63"/>
        <v>#REF!</v>
      </c>
      <c r="E277" s="64" t="e">
        <f t="shared" si="63"/>
        <v>#REF!</v>
      </c>
      <c r="F277" s="64" t="e">
        <f t="shared" si="63"/>
        <v>#REF!</v>
      </c>
      <c r="G277" s="64" t="e">
        <f t="shared" si="63"/>
        <v>#REF!</v>
      </c>
      <c r="H277" s="64" t="e">
        <f t="shared" si="63"/>
        <v>#REF!</v>
      </c>
      <c r="I277" s="64" t="e">
        <f t="shared" si="63"/>
        <v>#REF!</v>
      </c>
      <c r="J277" s="64" t="e">
        <f t="shared" si="63"/>
        <v>#REF!</v>
      </c>
      <c r="K277" s="62"/>
      <c r="L277" s="62"/>
    </row>
    <row r="278" spans="1:12">
      <c r="A278" s="63" t="e">
        <f>A227</f>
        <v>#REF!</v>
      </c>
      <c r="B278" s="63" t="s">
        <v>350</v>
      </c>
      <c r="C278" s="187"/>
      <c r="D278" s="64" t="e">
        <f t="shared" si="63"/>
        <v>#REF!</v>
      </c>
      <c r="E278" s="64" t="e">
        <f t="shared" si="63"/>
        <v>#REF!</v>
      </c>
      <c r="F278" s="64" t="e">
        <f t="shared" si="63"/>
        <v>#REF!</v>
      </c>
      <c r="G278" s="64" t="e">
        <f t="shared" si="63"/>
        <v>#REF!</v>
      </c>
      <c r="H278" s="64" t="e">
        <f t="shared" si="63"/>
        <v>#REF!</v>
      </c>
      <c r="I278" s="64" t="e">
        <f t="shared" si="63"/>
        <v>#REF!</v>
      </c>
      <c r="J278" s="64" t="e">
        <f t="shared" si="63"/>
        <v>#REF!</v>
      </c>
      <c r="K278" s="62"/>
      <c r="L278" s="62"/>
    </row>
    <row r="279" spans="1:12">
      <c r="A279" s="63">
        <f>A228</f>
        <v>0</v>
      </c>
      <c r="B279" s="63" t="s">
        <v>350</v>
      </c>
      <c r="C279" s="187"/>
      <c r="D279" s="64">
        <f t="shared" si="63"/>
        <v>0</v>
      </c>
      <c r="E279" s="64">
        <f t="shared" si="63"/>
        <v>0</v>
      </c>
      <c r="F279" s="64">
        <f t="shared" si="63"/>
        <v>0</v>
      </c>
      <c r="G279" s="64">
        <f t="shared" si="63"/>
        <v>0</v>
      </c>
      <c r="H279" s="64">
        <f t="shared" si="63"/>
        <v>0</v>
      </c>
      <c r="I279" s="64">
        <f t="shared" si="63"/>
        <v>0</v>
      </c>
      <c r="J279" s="64">
        <f t="shared" si="63"/>
        <v>0</v>
      </c>
      <c r="K279" s="62"/>
      <c r="L279" s="62"/>
    </row>
    <row r="280" spans="1:12">
      <c r="A280" s="63">
        <f>A230</f>
        <v>0</v>
      </c>
      <c r="B280" s="63"/>
      <c r="C280" s="187"/>
      <c r="D280" s="64">
        <f t="shared" si="63"/>
        <v>0</v>
      </c>
      <c r="E280" s="64">
        <f t="shared" si="63"/>
        <v>0</v>
      </c>
      <c r="F280" s="64">
        <f t="shared" si="63"/>
        <v>0</v>
      </c>
      <c r="G280" s="64">
        <f t="shared" si="63"/>
        <v>0</v>
      </c>
      <c r="H280" s="64">
        <f t="shared" si="63"/>
        <v>0</v>
      </c>
      <c r="I280" s="64">
        <f t="shared" si="63"/>
        <v>0</v>
      </c>
      <c r="J280" s="64">
        <f t="shared" si="63"/>
        <v>0</v>
      </c>
      <c r="K280" s="62"/>
      <c r="L280" s="62"/>
    </row>
    <row r="281" spans="1:12">
      <c r="A281" s="63"/>
      <c r="B281" s="63"/>
      <c r="C281" s="187"/>
      <c r="D281" s="64"/>
      <c r="E281" s="64"/>
      <c r="F281" s="64"/>
      <c r="G281" s="64"/>
      <c r="H281" s="64"/>
      <c r="I281" s="64"/>
      <c r="J281" s="64"/>
      <c r="K281" s="62"/>
      <c r="L281" s="62"/>
    </row>
    <row r="282" spans="1:12">
      <c r="A282" s="63" t="s">
        <v>303</v>
      </c>
      <c r="B282" s="164">
        <v>5</v>
      </c>
      <c r="C282" s="164">
        <v>300</v>
      </c>
      <c r="D282" s="64">
        <f t="shared" ref="D282:J282" si="64">B10*$B$282*$C$282*D172</f>
        <v>18899.999999999996</v>
      </c>
      <c r="E282" s="64">
        <f t="shared" si="64"/>
        <v>19844.999999999996</v>
      </c>
      <c r="F282" s="64">
        <f t="shared" si="64"/>
        <v>20837.249999999996</v>
      </c>
      <c r="G282" s="64">
        <f t="shared" si="64"/>
        <v>21879.112499999999</v>
      </c>
      <c r="H282" s="64">
        <f t="shared" si="64"/>
        <v>22973.068125000002</v>
      </c>
      <c r="I282" s="64">
        <f t="shared" si="64"/>
        <v>25844.701640625008</v>
      </c>
      <c r="J282" s="64">
        <f t="shared" si="64"/>
        <v>28946.065837500009</v>
      </c>
      <c r="K282" s="62"/>
      <c r="L282" s="62"/>
    </row>
    <row r="283" spans="1:12">
      <c r="A283" s="63" t="s">
        <v>139</v>
      </c>
      <c r="B283" s="63">
        <f>'2.Capex Details'!H55*0.746*8</f>
        <v>0</v>
      </c>
      <c r="C283" s="164">
        <v>8</v>
      </c>
      <c r="D283" s="64">
        <f t="shared" ref="D283:J283" si="65">$B$283*$C$283*D172*B10</f>
        <v>0</v>
      </c>
      <c r="E283" s="64">
        <f t="shared" si="65"/>
        <v>0</v>
      </c>
      <c r="F283" s="64">
        <f t="shared" si="65"/>
        <v>0</v>
      </c>
      <c r="G283" s="64">
        <f t="shared" si="65"/>
        <v>0</v>
      </c>
      <c r="H283" s="64">
        <f t="shared" si="65"/>
        <v>0</v>
      </c>
      <c r="I283" s="64">
        <f t="shared" si="65"/>
        <v>0</v>
      </c>
      <c r="J283" s="64">
        <f t="shared" si="65"/>
        <v>0</v>
      </c>
      <c r="K283" s="62"/>
      <c r="L283" s="62"/>
    </row>
    <row r="284" spans="1:12">
      <c r="A284" s="63" t="s">
        <v>447</v>
      </c>
      <c r="B284" s="63"/>
      <c r="C284" s="164">
        <v>30</v>
      </c>
      <c r="D284" s="64">
        <f t="shared" ref="D284:J284" si="66">SUM(B120:B141)*$C$284*D172</f>
        <v>29332.799999999996</v>
      </c>
      <c r="E284" s="64">
        <f t="shared" si="66"/>
        <v>30799.439999999995</v>
      </c>
      <c r="F284" s="64">
        <f t="shared" si="66"/>
        <v>32339.411999999997</v>
      </c>
      <c r="G284" s="64">
        <f t="shared" si="66"/>
        <v>33956.382599999997</v>
      </c>
      <c r="H284" s="64">
        <f t="shared" si="66"/>
        <v>35654.201730000001</v>
      </c>
      <c r="I284" s="64">
        <f t="shared" si="66"/>
        <v>40110.976946250004</v>
      </c>
      <c r="J284" s="64">
        <f t="shared" si="66"/>
        <v>44924.294179800017</v>
      </c>
      <c r="K284" s="62"/>
      <c r="L284" s="62"/>
    </row>
    <row r="285" spans="1:12">
      <c r="A285" s="63" t="s">
        <v>446</v>
      </c>
      <c r="B285" s="63"/>
      <c r="C285" s="164">
        <v>30</v>
      </c>
      <c r="D285" s="64">
        <f t="shared" ref="D285:J285" si="67">SUM(B120:B141)*$C$285*D172</f>
        <v>29332.799999999996</v>
      </c>
      <c r="E285" s="64">
        <f t="shared" si="67"/>
        <v>30799.439999999995</v>
      </c>
      <c r="F285" s="64">
        <f t="shared" si="67"/>
        <v>32339.411999999997</v>
      </c>
      <c r="G285" s="64">
        <f t="shared" si="67"/>
        <v>33956.382599999997</v>
      </c>
      <c r="H285" s="64">
        <f t="shared" si="67"/>
        <v>35654.201730000001</v>
      </c>
      <c r="I285" s="64">
        <f t="shared" si="67"/>
        <v>40110.976946250004</v>
      </c>
      <c r="J285" s="64">
        <f t="shared" si="67"/>
        <v>44924.294179800017</v>
      </c>
      <c r="K285" s="62"/>
      <c r="L285" s="62"/>
    </row>
    <row r="286" spans="1:12">
      <c r="A286" s="9"/>
      <c r="B286" s="9"/>
      <c r="C286" s="9"/>
      <c r="D286" s="9"/>
      <c r="E286" s="9"/>
      <c r="F286" s="9"/>
      <c r="G286" s="9"/>
      <c r="H286" s="9"/>
      <c r="I286" s="9"/>
      <c r="J286" s="9"/>
      <c r="K286" s="62"/>
      <c r="L286" s="62"/>
    </row>
    <row r="287" spans="1:12">
      <c r="A287" s="9"/>
      <c r="B287" s="9"/>
      <c r="C287" s="9"/>
      <c r="D287" s="9"/>
      <c r="E287" s="9"/>
      <c r="F287" s="9"/>
      <c r="G287" s="9"/>
      <c r="H287" s="9"/>
      <c r="I287" s="9"/>
      <c r="J287" s="9"/>
      <c r="K287" s="62"/>
      <c r="L287" s="62"/>
    </row>
    <row r="288" spans="1:12">
      <c r="A288" s="9"/>
      <c r="B288" s="9"/>
      <c r="C288" s="9"/>
      <c r="D288" s="9"/>
      <c r="E288" s="9"/>
      <c r="F288" s="9"/>
      <c r="G288" s="9"/>
      <c r="H288" s="9"/>
      <c r="I288" s="9"/>
      <c r="J288" s="9"/>
      <c r="K288" s="62"/>
      <c r="L288" s="62"/>
    </row>
    <row r="289" spans="1:20">
      <c r="A289" s="63" t="s">
        <v>330</v>
      </c>
      <c r="B289" s="63"/>
      <c r="C289" s="63"/>
      <c r="D289" s="136"/>
      <c r="E289" s="136">
        <f>'5.Closing Stock &amp; W Capital'!F7</f>
        <v>0</v>
      </c>
      <c r="F289" s="136">
        <f>'5.Closing Stock &amp; W Capital'!G7</f>
        <v>0</v>
      </c>
      <c r="G289" s="136">
        <f>'5.Closing Stock &amp; W Capital'!H7</f>
        <v>0</v>
      </c>
      <c r="H289" s="136">
        <f>'5.Closing Stock &amp; W Capital'!I7</f>
        <v>0</v>
      </c>
      <c r="I289" s="136">
        <f>'5.Closing Stock &amp; W Capital'!J7</f>
        <v>0</v>
      </c>
      <c r="J289" s="136">
        <f>'5.Closing Stock &amp; W Capital'!K7</f>
        <v>0</v>
      </c>
      <c r="K289" s="62"/>
      <c r="L289" s="62"/>
    </row>
    <row r="290" spans="1:20">
      <c r="A290" s="63" t="s">
        <v>331</v>
      </c>
      <c r="B290" s="63"/>
      <c r="C290" s="136"/>
      <c r="D290" s="136">
        <f>'5.Closing Stock &amp; W Capital'!E16</f>
        <v>0</v>
      </c>
      <c r="E290" s="136">
        <f>'5.Closing Stock &amp; W Capital'!F16</f>
        <v>0</v>
      </c>
      <c r="F290" s="136">
        <f>'5.Closing Stock &amp; W Capital'!G16</f>
        <v>0</v>
      </c>
      <c r="G290" s="136">
        <f>'5.Closing Stock &amp; W Capital'!H16</f>
        <v>0</v>
      </c>
      <c r="H290" s="136">
        <f>'5.Closing Stock &amp; W Capital'!I16</f>
        <v>0</v>
      </c>
      <c r="I290" s="136">
        <f>'5.Closing Stock &amp; W Capital'!J16</f>
        <v>0</v>
      </c>
      <c r="J290" s="136">
        <f>'5.Closing Stock &amp; W Capital'!K16</f>
        <v>0</v>
      </c>
      <c r="K290" s="62"/>
      <c r="L290" s="62"/>
    </row>
    <row r="291" spans="1:20">
      <c r="A291" s="63"/>
      <c r="B291" s="63"/>
      <c r="C291" s="139"/>
      <c r="D291" s="136"/>
      <c r="E291" s="136"/>
      <c r="F291" s="136"/>
      <c r="G291" s="136"/>
      <c r="H291" s="136"/>
      <c r="I291" s="136"/>
      <c r="J291" s="136"/>
      <c r="K291" s="62"/>
      <c r="L291" s="62"/>
      <c r="M291" s="62"/>
      <c r="N291" s="62"/>
      <c r="O291" s="62"/>
      <c r="P291" s="62"/>
      <c r="Q291" s="62"/>
      <c r="R291" s="62"/>
      <c r="S291" s="62"/>
      <c r="T291" s="62"/>
    </row>
    <row r="292" spans="1:20">
      <c r="A292" s="65" t="s">
        <v>309</v>
      </c>
      <c r="B292" s="65"/>
      <c r="C292" s="65"/>
      <c r="D292" s="79" t="e">
        <f t="shared" ref="D292:J292" si="68">SUM(D233:D289)-D290</f>
        <v>#REF!</v>
      </c>
      <c r="E292" s="79" t="e">
        <f t="shared" si="68"/>
        <v>#REF!</v>
      </c>
      <c r="F292" s="79" t="e">
        <f t="shared" si="68"/>
        <v>#REF!</v>
      </c>
      <c r="G292" s="79" t="e">
        <f t="shared" si="68"/>
        <v>#REF!</v>
      </c>
      <c r="H292" s="79" t="e">
        <f t="shared" si="68"/>
        <v>#REF!</v>
      </c>
      <c r="I292" s="79" t="e">
        <f t="shared" si="68"/>
        <v>#REF!</v>
      </c>
      <c r="J292" s="79" t="e">
        <f t="shared" si="68"/>
        <v>#REF!</v>
      </c>
      <c r="K292" s="62"/>
      <c r="L292" s="62"/>
      <c r="M292" s="62"/>
      <c r="N292" s="62"/>
      <c r="O292" s="62"/>
      <c r="P292" s="62"/>
      <c r="Q292" s="62"/>
      <c r="R292" s="62"/>
      <c r="S292" s="62"/>
      <c r="T292" s="62"/>
    </row>
    <row r="293" spans="1:20">
      <c r="A293" s="65" t="s">
        <v>300</v>
      </c>
      <c r="B293" s="63"/>
      <c r="C293" s="63"/>
      <c r="D293" s="74"/>
      <c r="E293" s="74"/>
      <c r="F293" s="74"/>
      <c r="G293" s="74"/>
      <c r="H293" s="74"/>
      <c r="I293" s="63"/>
      <c r="J293" s="63"/>
      <c r="K293" s="62"/>
      <c r="L293" s="62"/>
      <c r="M293" s="62"/>
      <c r="N293" s="62"/>
      <c r="O293" s="62"/>
      <c r="P293" s="62"/>
      <c r="Q293" s="62"/>
      <c r="R293" s="62"/>
      <c r="S293" s="62"/>
      <c r="T293" s="62"/>
    </row>
    <row r="294" spans="1:20">
      <c r="A294" s="63" t="s">
        <v>183</v>
      </c>
      <c r="B294" s="164">
        <v>1</v>
      </c>
      <c r="C294" s="187"/>
      <c r="D294" s="64">
        <f t="shared" ref="D294:J294" si="69">$B$294*$C$294*12*D172</f>
        <v>0</v>
      </c>
      <c r="E294" s="64">
        <f t="shared" si="69"/>
        <v>0</v>
      </c>
      <c r="F294" s="64">
        <f t="shared" si="69"/>
        <v>0</v>
      </c>
      <c r="G294" s="64">
        <f t="shared" si="69"/>
        <v>0</v>
      </c>
      <c r="H294" s="64">
        <f t="shared" si="69"/>
        <v>0</v>
      </c>
      <c r="I294" s="64">
        <f t="shared" si="69"/>
        <v>0</v>
      </c>
      <c r="J294" s="64">
        <f t="shared" si="69"/>
        <v>0</v>
      </c>
      <c r="K294" s="62"/>
      <c r="L294" s="62"/>
      <c r="M294" s="62"/>
      <c r="N294" s="62"/>
      <c r="O294" s="62"/>
      <c r="P294" s="62"/>
      <c r="Q294" s="62"/>
      <c r="R294" s="62"/>
      <c r="S294" s="62"/>
      <c r="T294" s="62"/>
    </row>
    <row r="295" spans="1:20">
      <c r="A295" s="63"/>
      <c r="B295" s="164"/>
      <c r="C295" s="187"/>
      <c r="D295" s="64"/>
      <c r="E295" s="64"/>
      <c r="F295" s="64"/>
      <c r="G295" s="64"/>
      <c r="H295" s="64"/>
      <c r="I295" s="64"/>
      <c r="J295" s="64"/>
      <c r="K295" s="62"/>
      <c r="L295" s="62"/>
      <c r="M295" s="62"/>
      <c r="N295" s="127"/>
      <c r="O295" s="62"/>
      <c r="P295" s="62"/>
      <c r="Q295" s="62"/>
      <c r="R295" s="62"/>
      <c r="S295" s="62"/>
      <c r="T295" s="62"/>
    </row>
    <row r="296" spans="1:20">
      <c r="A296" s="63"/>
      <c r="B296" s="164"/>
      <c r="C296" s="187"/>
      <c r="D296" s="64"/>
      <c r="E296" s="64"/>
      <c r="F296" s="64"/>
      <c r="G296" s="64"/>
      <c r="H296" s="64"/>
      <c r="I296" s="64"/>
      <c r="J296" s="64"/>
      <c r="K296" s="62"/>
      <c r="L296" s="62"/>
      <c r="M296" s="62"/>
      <c r="N296" s="62"/>
      <c r="O296" s="62"/>
      <c r="P296" s="62"/>
      <c r="Q296" s="62"/>
      <c r="R296" s="62"/>
      <c r="S296" s="62"/>
      <c r="T296" s="62"/>
    </row>
    <row r="297" spans="1:20">
      <c r="A297" s="63"/>
      <c r="B297" s="164"/>
      <c r="C297" s="187"/>
      <c r="D297" s="64"/>
      <c r="E297" s="64"/>
      <c r="F297" s="64"/>
      <c r="G297" s="64"/>
      <c r="H297" s="64"/>
      <c r="I297" s="64"/>
      <c r="J297" s="64"/>
      <c r="K297" s="62"/>
      <c r="L297" s="62"/>
      <c r="M297" s="62"/>
      <c r="N297" s="62"/>
      <c r="O297" s="62"/>
      <c r="P297" s="62"/>
      <c r="Q297" s="62"/>
      <c r="R297" s="62"/>
      <c r="S297" s="62"/>
      <c r="T297" s="62"/>
    </row>
    <row r="298" spans="1:20">
      <c r="A298" s="63"/>
      <c r="B298" s="164"/>
      <c r="C298" s="187"/>
      <c r="D298" s="64"/>
      <c r="E298" s="64"/>
      <c r="F298" s="64"/>
      <c r="G298" s="64"/>
      <c r="H298" s="64"/>
      <c r="I298" s="64"/>
      <c r="J298" s="64"/>
      <c r="K298" s="62"/>
      <c r="L298" s="62"/>
      <c r="M298" s="62"/>
      <c r="N298" s="62"/>
      <c r="O298" s="62"/>
      <c r="P298" s="62"/>
      <c r="Q298" s="62"/>
      <c r="R298" s="62"/>
      <c r="S298" s="62"/>
      <c r="T298" s="62"/>
    </row>
    <row r="299" spans="1:20">
      <c r="A299" s="63"/>
      <c r="B299" s="164"/>
      <c r="C299" s="187"/>
      <c r="D299" s="64"/>
      <c r="E299" s="64"/>
      <c r="F299" s="64"/>
      <c r="G299" s="64"/>
      <c r="H299" s="64"/>
      <c r="I299" s="64"/>
      <c r="J299" s="64"/>
      <c r="K299" s="62"/>
      <c r="L299" s="62"/>
      <c r="M299" s="62"/>
      <c r="N299" s="62"/>
      <c r="O299" s="62"/>
      <c r="P299" s="62"/>
      <c r="Q299" s="62"/>
      <c r="R299" s="62"/>
      <c r="S299" s="62"/>
      <c r="T299" s="62"/>
    </row>
    <row r="300" spans="1:20">
      <c r="A300" s="63"/>
      <c r="B300" s="164"/>
      <c r="C300" s="187"/>
      <c r="D300" s="64"/>
      <c r="E300" s="64"/>
      <c r="F300" s="64"/>
      <c r="G300" s="64"/>
      <c r="H300" s="64"/>
      <c r="I300" s="64"/>
      <c r="J300" s="64"/>
      <c r="K300" s="62"/>
      <c r="L300" s="62"/>
      <c r="M300" s="62"/>
      <c r="N300" s="62"/>
      <c r="O300" s="62"/>
      <c r="P300" s="62"/>
      <c r="Q300" s="62"/>
      <c r="R300" s="62"/>
      <c r="S300" s="62"/>
      <c r="T300" s="62"/>
    </row>
    <row r="301" spans="1:20">
      <c r="A301" s="65" t="s">
        <v>313</v>
      </c>
      <c r="B301" s="169"/>
      <c r="C301" s="169"/>
      <c r="D301" s="79">
        <f t="shared" ref="D301:J301" si="70">SUM(D294:D300)</f>
        <v>0</v>
      </c>
      <c r="E301" s="79">
        <f t="shared" si="70"/>
        <v>0</v>
      </c>
      <c r="F301" s="79">
        <f t="shared" si="70"/>
        <v>0</v>
      </c>
      <c r="G301" s="79">
        <f t="shared" si="70"/>
        <v>0</v>
      </c>
      <c r="H301" s="79">
        <f t="shared" si="70"/>
        <v>0</v>
      </c>
      <c r="I301" s="79">
        <f t="shared" si="70"/>
        <v>0</v>
      </c>
      <c r="J301" s="79">
        <f t="shared" si="70"/>
        <v>0</v>
      </c>
      <c r="K301" s="62"/>
      <c r="L301" s="62"/>
      <c r="M301" s="62"/>
      <c r="N301" s="127"/>
      <c r="O301" s="62"/>
      <c r="P301" s="62"/>
      <c r="Q301" s="62"/>
      <c r="R301" s="62"/>
      <c r="S301" s="62"/>
      <c r="T301" s="62"/>
    </row>
    <row r="302" spans="1:20">
      <c r="A302" s="65" t="s">
        <v>127</v>
      </c>
      <c r="B302" s="65"/>
      <c r="C302" s="65"/>
      <c r="D302" s="79" t="e">
        <f t="shared" ref="D302:J302" si="71">D292+D301</f>
        <v>#REF!</v>
      </c>
      <c r="E302" s="79" t="e">
        <f t="shared" si="71"/>
        <v>#REF!</v>
      </c>
      <c r="F302" s="79" t="e">
        <f t="shared" si="71"/>
        <v>#REF!</v>
      </c>
      <c r="G302" s="79" t="e">
        <f t="shared" si="71"/>
        <v>#REF!</v>
      </c>
      <c r="H302" s="79" t="e">
        <f t="shared" si="71"/>
        <v>#REF!</v>
      </c>
      <c r="I302" s="79" t="e">
        <f t="shared" si="71"/>
        <v>#REF!</v>
      </c>
      <c r="J302" s="79" t="e">
        <f t="shared" si="71"/>
        <v>#REF!</v>
      </c>
      <c r="K302" s="62"/>
      <c r="L302" s="62"/>
      <c r="M302" s="62"/>
      <c r="N302" s="62"/>
      <c r="O302" s="62"/>
      <c r="P302" s="62"/>
      <c r="Q302" s="62"/>
      <c r="R302" s="62"/>
      <c r="S302" s="62"/>
      <c r="T302" s="62"/>
    </row>
    <row r="303" spans="1:20">
      <c r="A303" s="63"/>
      <c r="B303" s="63"/>
      <c r="C303" s="63"/>
      <c r="D303" s="74"/>
      <c r="E303" s="74"/>
      <c r="F303" s="74"/>
      <c r="G303" s="74"/>
      <c r="H303" s="74"/>
      <c r="I303" s="63"/>
      <c r="J303" s="63"/>
      <c r="K303" s="62"/>
      <c r="L303" s="62"/>
      <c r="M303" s="62"/>
      <c r="N303" s="62"/>
      <c r="O303" s="62"/>
      <c r="P303" s="62"/>
      <c r="Q303" s="62"/>
      <c r="R303" s="62"/>
      <c r="S303" s="62"/>
      <c r="T303" s="62"/>
    </row>
    <row r="304" spans="1:20">
      <c r="A304" s="65"/>
      <c r="B304" s="65"/>
      <c r="C304" s="65"/>
      <c r="D304" s="74"/>
      <c r="E304" s="74"/>
      <c r="F304" s="74"/>
      <c r="G304" s="74"/>
      <c r="H304" s="74"/>
      <c r="I304" s="63"/>
      <c r="J304" s="63"/>
      <c r="K304" s="62"/>
      <c r="L304" s="62"/>
      <c r="M304" s="62"/>
      <c r="N304" s="62"/>
      <c r="O304" s="62"/>
      <c r="P304" s="62"/>
      <c r="Q304" s="62"/>
      <c r="R304" s="62"/>
      <c r="S304" s="62"/>
      <c r="T304" s="62"/>
    </row>
    <row r="305" spans="1:20">
      <c r="A305" s="65" t="s">
        <v>305</v>
      </c>
      <c r="B305" s="65"/>
      <c r="C305" s="65"/>
      <c r="D305" s="79" t="e">
        <f t="shared" ref="D305:J305" si="72">D229-D302</f>
        <v>#REF!</v>
      </c>
      <c r="E305" s="79" t="e">
        <f t="shared" si="72"/>
        <v>#REF!</v>
      </c>
      <c r="F305" s="79" t="e">
        <f t="shared" si="72"/>
        <v>#REF!</v>
      </c>
      <c r="G305" s="79" t="e">
        <f t="shared" si="72"/>
        <v>#REF!</v>
      </c>
      <c r="H305" s="79" t="e">
        <f t="shared" si="72"/>
        <v>#REF!</v>
      </c>
      <c r="I305" s="79" t="e">
        <f t="shared" si="72"/>
        <v>#REF!</v>
      </c>
      <c r="J305" s="79" t="e">
        <f t="shared" si="72"/>
        <v>#REF!</v>
      </c>
      <c r="K305" s="62"/>
      <c r="L305" s="62"/>
      <c r="M305" s="62"/>
      <c r="N305" s="62"/>
      <c r="O305" s="62"/>
      <c r="P305" s="62"/>
      <c r="Q305" s="62"/>
      <c r="R305" s="62"/>
      <c r="S305" s="62"/>
      <c r="T305" s="62"/>
    </row>
    <row r="306" spans="1:20">
      <c r="A306" s="62"/>
      <c r="B306" s="62"/>
      <c r="C306" s="62"/>
      <c r="D306" s="62"/>
      <c r="E306" s="62"/>
      <c r="F306" s="62"/>
      <c r="G306" s="62"/>
      <c r="H306" s="62"/>
      <c r="I306" s="62"/>
      <c r="J306" s="62"/>
    </row>
    <row r="307" spans="1:20">
      <c r="A307" s="62" t="s">
        <v>48</v>
      </c>
      <c r="B307" s="62"/>
      <c r="C307" s="62"/>
      <c r="D307" s="62"/>
      <c r="E307" s="62"/>
      <c r="F307" s="62"/>
      <c r="G307" s="62"/>
      <c r="H307" s="62"/>
      <c r="I307" s="62"/>
      <c r="J307" s="62"/>
    </row>
    <row r="308" spans="1:20">
      <c r="A308" s="604" t="s">
        <v>406</v>
      </c>
      <c r="B308" s="604"/>
      <c r="C308" s="604"/>
      <c r="D308" s="604"/>
      <c r="E308" s="604"/>
      <c r="F308" s="604"/>
      <c r="G308" s="604"/>
      <c r="H308" s="604"/>
      <c r="I308" s="604"/>
      <c r="J308" s="604"/>
    </row>
    <row r="310" spans="1:20">
      <c r="A310" t="s">
        <v>500</v>
      </c>
    </row>
    <row r="311" spans="1:20">
      <c r="A311">
        <v>1</v>
      </c>
      <c r="B311" t="s">
        <v>510</v>
      </c>
    </row>
    <row r="312" spans="1:20">
      <c r="A312">
        <v>2</v>
      </c>
      <c r="B312" t="s">
        <v>511</v>
      </c>
    </row>
    <row r="313" spans="1:20">
      <c r="A313">
        <v>3</v>
      </c>
      <c r="B313" s="62" t="s">
        <v>560</v>
      </c>
    </row>
  </sheetData>
  <mergeCells count="5">
    <mergeCell ref="A170:J170"/>
    <mergeCell ref="A2:H2"/>
    <mergeCell ref="A308:J308"/>
    <mergeCell ref="F4:H4"/>
    <mergeCell ref="A3:H3"/>
  </mergeCells>
  <pageMargins left="0.7" right="0.7" top="0.75" bottom="0.75" header="0.3" footer="0.3"/>
  <pageSetup paperSize="9" scale="45" orientation="portrait" r:id="rId1"/>
  <rowBreaks count="3" manualBreakCount="3">
    <brk id="61" max="9" man="1"/>
    <brk id="140" max="9" man="1"/>
    <brk id="238"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A32" zoomScale="70" zoomScaleSheetLayoutView="70" workbookViewId="0">
      <selection activeCell="C53" sqref="C53"/>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602" t="s">
        <v>555</v>
      </c>
      <c r="B3" s="602"/>
      <c r="C3" s="602"/>
      <c r="D3" s="602"/>
      <c r="E3" s="602"/>
      <c r="F3" s="602"/>
      <c r="G3" s="602"/>
      <c r="H3" s="602"/>
    </row>
    <row r="4" spans="1:8" ht="18.75">
      <c r="A4" s="602" t="s">
        <v>556</v>
      </c>
      <c r="B4" s="602"/>
      <c r="C4" s="602"/>
      <c r="D4" s="602"/>
      <c r="E4" s="602"/>
      <c r="F4" s="602"/>
      <c r="G4" s="602"/>
      <c r="H4" s="602"/>
    </row>
    <row r="5" spans="1:8">
      <c r="A5" s="62" t="s">
        <v>156</v>
      </c>
      <c r="B5" s="180">
        <v>1</v>
      </c>
      <c r="C5" s="62" t="s">
        <v>456</v>
      </c>
      <c r="D5" s="62"/>
      <c r="E5" s="62"/>
      <c r="F5" s="62"/>
      <c r="G5" s="62"/>
      <c r="H5" s="62"/>
    </row>
    <row r="6" spans="1:8">
      <c r="A6" s="62" t="s">
        <v>157</v>
      </c>
      <c r="B6" s="206">
        <v>8</v>
      </c>
      <c r="C6" s="62"/>
      <c r="D6" s="62"/>
      <c r="E6" s="62"/>
      <c r="F6" s="62"/>
      <c r="G6" s="62"/>
      <c r="H6" s="62"/>
    </row>
    <row r="7" spans="1:8">
      <c r="A7" s="62"/>
      <c r="B7" s="206"/>
      <c r="C7" s="62"/>
      <c r="D7" s="62"/>
      <c r="E7" s="62"/>
      <c r="F7" s="62"/>
      <c r="G7" s="62"/>
      <c r="H7" s="62"/>
    </row>
    <row r="8" spans="1:8">
      <c r="A8" s="62"/>
      <c r="B8" s="206"/>
      <c r="C8" s="62"/>
      <c r="D8" s="62"/>
      <c r="E8" s="62"/>
      <c r="F8" s="62"/>
      <c r="G8" s="62"/>
      <c r="H8" s="62"/>
    </row>
    <row r="9" spans="1:8">
      <c r="A9" s="62"/>
      <c r="B9" s="62"/>
      <c r="C9" s="62"/>
      <c r="D9" s="62"/>
      <c r="E9" s="62"/>
      <c r="F9" s="62"/>
      <c r="G9" s="62"/>
      <c r="H9" s="62"/>
    </row>
    <row r="10" spans="1:8">
      <c r="A10" s="62"/>
      <c r="B10" s="62"/>
      <c r="C10" s="62"/>
      <c r="D10" s="62"/>
      <c r="E10" s="62"/>
      <c r="F10" s="62"/>
      <c r="G10" s="62"/>
      <c r="H10" s="62"/>
    </row>
    <row r="11" spans="1:8">
      <c r="A11" s="55" t="s">
        <v>0</v>
      </c>
      <c r="B11" s="56" t="s">
        <v>2</v>
      </c>
      <c r="C11" s="56" t="s">
        <v>3</v>
      </c>
      <c r="D11" s="56" t="s">
        <v>4</v>
      </c>
      <c r="E11" s="56" t="s">
        <v>5</v>
      </c>
      <c r="F11" s="56" t="s">
        <v>6</v>
      </c>
      <c r="G11" s="56" t="s">
        <v>164</v>
      </c>
      <c r="H11" s="56" t="s">
        <v>163</v>
      </c>
    </row>
    <row r="12" spans="1:8">
      <c r="A12" s="63" t="s">
        <v>165</v>
      </c>
      <c r="B12" s="229">
        <f t="shared" ref="B12:H12" si="0">B39/($B$5*$B$6)</f>
        <v>0</v>
      </c>
      <c r="C12" s="229">
        <f t="shared" si="0"/>
        <v>0</v>
      </c>
      <c r="D12" s="229">
        <f t="shared" si="0"/>
        <v>0</v>
      </c>
      <c r="E12" s="229">
        <f t="shared" si="0"/>
        <v>0</v>
      </c>
      <c r="F12" s="229">
        <f t="shared" si="0"/>
        <v>0</v>
      </c>
      <c r="G12" s="229">
        <f t="shared" si="0"/>
        <v>0</v>
      </c>
      <c r="H12" s="229">
        <f t="shared" si="0"/>
        <v>0</v>
      </c>
    </row>
    <row r="13" spans="1:8">
      <c r="A13" s="63" t="str">
        <f>'[3]11.F&amp;V Crop Production details'!A74</f>
        <v>Onion</v>
      </c>
      <c r="B13" s="63">
        <f>'[3]11.F&amp;V Crop Production details'!B74</f>
        <v>0</v>
      </c>
      <c r="C13" s="63">
        <f>'[3]11.F&amp;V Crop Production details'!C74</f>
        <v>0</v>
      </c>
      <c r="D13" s="63">
        <f>'[3]11.F&amp;V Crop Production details'!D74</f>
        <v>0</v>
      </c>
      <c r="E13" s="63">
        <f>'[3]11.F&amp;V Crop Production details'!E74</f>
        <v>0</v>
      </c>
      <c r="F13" s="63">
        <f>'[3]11.F&amp;V Crop Production details'!F74</f>
        <v>0</v>
      </c>
      <c r="G13" s="63">
        <f>'[3]11.F&amp;V Crop Production details'!G74</f>
        <v>0</v>
      </c>
      <c r="H13" s="63">
        <f>'[3]11.F&amp;V Crop Production details'!H74</f>
        <v>0</v>
      </c>
    </row>
    <row r="14" spans="1:8">
      <c r="A14" s="63" t="str">
        <f>'[3]11.F&amp;V Crop Production details'!A75</f>
        <v>Tomato</v>
      </c>
      <c r="B14" s="63">
        <f>'[3]11.F&amp;V Crop Production details'!B75</f>
        <v>0</v>
      </c>
      <c r="C14" s="63">
        <f>'[3]11.F&amp;V Crop Production details'!C75</f>
        <v>0</v>
      </c>
      <c r="D14" s="63">
        <f>'[3]11.F&amp;V Crop Production details'!D75</f>
        <v>0</v>
      </c>
      <c r="E14" s="63">
        <f>'[3]11.F&amp;V Crop Production details'!E75</f>
        <v>0</v>
      </c>
      <c r="F14" s="63">
        <f>'[3]11.F&amp;V Crop Production details'!F75</f>
        <v>0</v>
      </c>
      <c r="G14" s="63">
        <f>'[3]11.F&amp;V Crop Production details'!G75</f>
        <v>0</v>
      </c>
      <c r="H14" s="63">
        <f>'[3]11.F&amp;V Crop Production details'!H75</f>
        <v>0</v>
      </c>
    </row>
    <row r="15" spans="1:8">
      <c r="A15" s="63" t="str">
        <f>'[3]11.F&amp;V Crop Production details'!A76</f>
        <v>Okra</v>
      </c>
      <c r="B15" s="63">
        <f>'[3]11.F&amp;V Crop Production details'!B76</f>
        <v>0</v>
      </c>
      <c r="C15" s="63">
        <f>'[3]11.F&amp;V Crop Production details'!C76</f>
        <v>0</v>
      </c>
      <c r="D15" s="63">
        <f>'[3]11.F&amp;V Crop Production details'!D76</f>
        <v>0</v>
      </c>
      <c r="E15" s="63">
        <f>'[3]11.F&amp;V Crop Production details'!E76</f>
        <v>0</v>
      </c>
      <c r="F15" s="63">
        <f>'[3]11.F&amp;V Crop Production details'!F76</f>
        <v>0</v>
      </c>
      <c r="G15" s="63">
        <f>'[3]11.F&amp;V Crop Production details'!G76</f>
        <v>0</v>
      </c>
      <c r="H15" s="63">
        <f>'[3]11.F&amp;V Crop Production details'!H76</f>
        <v>0</v>
      </c>
    </row>
    <row r="16" spans="1:8">
      <c r="A16" s="63" t="str">
        <f>'[3]11.F&amp;V Crop Production details'!A77</f>
        <v>Chilli</v>
      </c>
      <c r="B16" s="63">
        <f>'[3]11.F&amp;V Crop Production details'!B77</f>
        <v>0</v>
      </c>
      <c r="C16" s="63">
        <f>'[3]11.F&amp;V Crop Production details'!C77</f>
        <v>0</v>
      </c>
      <c r="D16" s="63">
        <f>'[3]11.F&amp;V Crop Production details'!D77</f>
        <v>0</v>
      </c>
      <c r="E16" s="63">
        <f>'[3]11.F&amp;V Crop Production details'!E77</f>
        <v>0</v>
      </c>
      <c r="F16" s="63">
        <f>'[3]11.F&amp;V Crop Production details'!F77</f>
        <v>0</v>
      </c>
      <c r="G16" s="63">
        <f>'[3]11.F&amp;V Crop Production details'!G77</f>
        <v>0</v>
      </c>
      <c r="H16" s="63">
        <f>'[3]11.F&amp;V Crop Production details'!H77</f>
        <v>0</v>
      </c>
    </row>
    <row r="17" spans="1:8">
      <c r="A17" s="63" t="str">
        <f>'[3]11.F&amp;V Crop Production details'!A78</f>
        <v>Potato</v>
      </c>
      <c r="B17" s="63">
        <f>'[3]11.F&amp;V Crop Production details'!B78</f>
        <v>0</v>
      </c>
      <c r="C17" s="63">
        <f>'[3]11.F&amp;V Crop Production details'!C78</f>
        <v>0</v>
      </c>
      <c r="D17" s="63">
        <f>'[3]11.F&amp;V Crop Production details'!D78</f>
        <v>0</v>
      </c>
      <c r="E17" s="63">
        <f>'[3]11.F&amp;V Crop Production details'!E78</f>
        <v>0</v>
      </c>
      <c r="F17" s="63">
        <f>'[3]11.F&amp;V Crop Production details'!F78</f>
        <v>0</v>
      </c>
      <c r="G17" s="63">
        <f>'[3]11.F&amp;V Crop Production details'!G78</f>
        <v>0</v>
      </c>
      <c r="H17" s="63">
        <f>'[3]11.F&amp;V Crop Production details'!H78</f>
        <v>0</v>
      </c>
    </row>
    <row r="18" spans="1:8">
      <c r="A18" s="63">
        <f>'[3]11.F&amp;V Crop Production details'!A79</f>
        <v>0</v>
      </c>
      <c r="B18" s="63">
        <f>'[3]11.F&amp;V Crop Production details'!B79</f>
        <v>0</v>
      </c>
      <c r="C18" s="63">
        <f>'[3]11.F&amp;V Crop Production details'!C79</f>
        <v>0</v>
      </c>
      <c r="D18" s="63">
        <f>'[3]11.F&amp;V Crop Production details'!D79</f>
        <v>0</v>
      </c>
      <c r="E18" s="63">
        <f>'[3]11.F&amp;V Crop Production details'!E79</f>
        <v>0</v>
      </c>
      <c r="F18" s="63">
        <f>'[3]11.F&amp;V Crop Production details'!F79</f>
        <v>0</v>
      </c>
      <c r="G18" s="63">
        <f>'[3]11.F&amp;V Crop Production details'!G79</f>
        <v>0</v>
      </c>
      <c r="H18" s="63">
        <f>'[3]11.F&amp;V Crop Production details'!H79</f>
        <v>0</v>
      </c>
    </row>
    <row r="19" spans="1:8">
      <c r="A19" s="63">
        <f>'[3]11.F&amp;V Crop Production details'!A80</f>
        <v>0</v>
      </c>
      <c r="B19" s="63">
        <f>'[3]11.F&amp;V Crop Production details'!B80</f>
        <v>0</v>
      </c>
      <c r="C19" s="63">
        <f>'[3]11.F&amp;V Crop Production details'!C80</f>
        <v>0</v>
      </c>
      <c r="D19" s="63">
        <f>'[3]11.F&amp;V Crop Production details'!D80</f>
        <v>0</v>
      </c>
      <c r="E19" s="63">
        <f>'[3]11.F&amp;V Crop Production details'!E80</f>
        <v>0</v>
      </c>
      <c r="F19" s="63">
        <f>'[3]11.F&amp;V Crop Production details'!F80</f>
        <v>0</v>
      </c>
      <c r="G19" s="63">
        <f>'[3]11.F&amp;V Crop Production details'!G80</f>
        <v>0</v>
      </c>
      <c r="H19" s="63">
        <f>'[3]11.F&amp;V Crop Production details'!H80</f>
        <v>0</v>
      </c>
    </row>
    <row r="20" spans="1:8">
      <c r="A20" s="63">
        <f>'[3]11.F&amp;V Crop Production details'!A81</f>
        <v>0</v>
      </c>
      <c r="B20" s="63">
        <f>'[3]11.F&amp;V Crop Production details'!B81</f>
        <v>0</v>
      </c>
      <c r="C20" s="63">
        <f>'[3]11.F&amp;V Crop Production details'!C81</f>
        <v>0</v>
      </c>
      <c r="D20" s="63">
        <f>'[3]11.F&amp;V Crop Production details'!D81</f>
        <v>0</v>
      </c>
      <c r="E20" s="63">
        <f>'[3]11.F&amp;V Crop Production details'!E81</f>
        <v>0</v>
      </c>
      <c r="F20" s="63">
        <f>'[3]11.F&amp;V Crop Production details'!F81</f>
        <v>0</v>
      </c>
      <c r="G20" s="63">
        <f>'[3]11.F&amp;V Crop Production details'!G81</f>
        <v>0</v>
      </c>
      <c r="H20" s="63">
        <f>'[3]11.F&amp;V Crop Production details'!H81</f>
        <v>0</v>
      </c>
    </row>
    <row r="21" spans="1:8">
      <c r="A21" s="63">
        <f>'[3]11.F&amp;V Crop Production details'!A82</f>
        <v>0</v>
      </c>
      <c r="B21" s="63">
        <f>'[3]11.F&amp;V Crop Production details'!B82</f>
        <v>0</v>
      </c>
      <c r="C21" s="63">
        <f>'[3]11.F&amp;V Crop Production details'!C82</f>
        <v>0</v>
      </c>
      <c r="D21" s="63">
        <f>'[3]11.F&amp;V Crop Production details'!D82</f>
        <v>0</v>
      </c>
      <c r="E21" s="63">
        <f>'[3]11.F&amp;V Crop Production details'!E82</f>
        <v>0</v>
      </c>
      <c r="F21" s="63">
        <f>'[3]11.F&amp;V Crop Production details'!F82</f>
        <v>0</v>
      </c>
      <c r="G21" s="63">
        <f>'[3]11.F&amp;V Crop Production details'!G82</f>
        <v>0</v>
      </c>
      <c r="H21" s="63">
        <f>'[3]11.F&amp;V Crop Production details'!H82</f>
        <v>0</v>
      </c>
    </row>
    <row r="22" spans="1:8">
      <c r="A22" s="63" t="str">
        <f>'[3]11.F&amp;V Crop Production details'!A83</f>
        <v>Onion</v>
      </c>
      <c r="B22" s="63">
        <f>'[3]11.F&amp;V Crop Production details'!B83</f>
        <v>0</v>
      </c>
      <c r="C22" s="63">
        <f>'[3]11.F&amp;V Crop Production details'!C83</f>
        <v>0</v>
      </c>
      <c r="D22" s="63">
        <f>'[3]11.F&amp;V Crop Production details'!D83</f>
        <v>0</v>
      </c>
      <c r="E22" s="63">
        <f>'[3]11.F&amp;V Crop Production details'!E83</f>
        <v>0</v>
      </c>
      <c r="F22" s="63">
        <f>'[3]11.F&amp;V Crop Production details'!F83</f>
        <v>0</v>
      </c>
      <c r="G22" s="63">
        <f>'[3]11.F&amp;V Crop Production details'!G83</f>
        <v>0</v>
      </c>
      <c r="H22" s="63">
        <f>'[3]11.F&amp;V Crop Production details'!H83</f>
        <v>0</v>
      </c>
    </row>
    <row r="23" spans="1:8">
      <c r="A23" s="63" t="str">
        <f>'[3]11.F&amp;V Crop Production details'!A84</f>
        <v>Tomato</v>
      </c>
      <c r="B23" s="63">
        <f>'[3]11.F&amp;V Crop Production details'!B84</f>
        <v>0</v>
      </c>
      <c r="C23" s="63">
        <f>'[3]11.F&amp;V Crop Production details'!C84</f>
        <v>0</v>
      </c>
      <c r="D23" s="63">
        <f>'[3]11.F&amp;V Crop Production details'!D84</f>
        <v>0</v>
      </c>
      <c r="E23" s="63">
        <f>'[3]11.F&amp;V Crop Production details'!E84</f>
        <v>0</v>
      </c>
      <c r="F23" s="63">
        <f>'[3]11.F&amp;V Crop Production details'!F84</f>
        <v>0</v>
      </c>
      <c r="G23" s="63">
        <f>'[3]11.F&amp;V Crop Production details'!G84</f>
        <v>0</v>
      </c>
      <c r="H23" s="63">
        <f>'[3]11.F&amp;V Crop Production details'!H84</f>
        <v>0</v>
      </c>
    </row>
    <row r="24" spans="1:8">
      <c r="A24" s="63" t="str">
        <f>'[3]11.F&amp;V Crop Production details'!A85</f>
        <v>Okra</v>
      </c>
      <c r="B24" s="63">
        <f>'[3]11.F&amp;V Crop Production details'!B85</f>
        <v>0</v>
      </c>
      <c r="C24" s="63">
        <f>'[3]11.F&amp;V Crop Production details'!C85</f>
        <v>0</v>
      </c>
      <c r="D24" s="63">
        <f>'[3]11.F&amp;V Crop Production details'!D85</f>
        <v>0</v>
      </c>
      <c r="E24" s="63">
        <f>'[3]11.F&amp;V Crop Production details'!E85</f>
        <v>0</v>
      </c>
      <c r="F24" s="63">
        <f>'[3]11.F&amp;V Crop Production details'!F85</f>
        <v>0</v>
      </c>
      <c r="G24" s="63">
        <f>'[3]11.F&amp;V Crop Production details'!G85</f>
        <v>0</v>
      </c>
      <c r="H24" s="63">
        <f>'[3]11.F&amp;V Crop Production details'!H85</f>
        <v>0</v>
      </c>
    </row>
    <row r="25" spans="1:8">
      <c r="A25" s="63" t="str">
        <f>'[3]11.F&amp;V Crop Production details'!A86</f>
        <v>Chilli</v>
      </c>
      <c r="B25" s="63">
        <f>'[3]11.F&amp;V Crop Production details'!B86</f>
        <v>0</v>
      </c>
      <c r="C25" s="63">
        <f>'[3]11.F&amp;V Crop Production details'!C86</f>
        <v>0</v>
      </c>
      <c r="D25" s="63">
        <f>'[3]11.F&amp;V Crop Production details'!D86</f>
        <v>0</v>
      </c>
      <c r="E25" s="63">
        <f>'[3]11.F&amp;V Crop Production details'!E86</f>
        <v>0</v>
      </c>
      <c r="F25" s="63">
        <f>'[3]11.F&amp;V Crop Production details'!F86</f>
        <v>0</v>
      </c>
      <c r="G25" s="63">
        <f>'[3]11.F&amp;V Crop Production details'!G86</f>
        <v>0</v>
      </c>
      <c r="H25" s="63">
        <f>'[3]11.F&amp;V Crop Production details'!H86</f>
        <v>0</v>
      </c>
    </row>
    <row r="26" spans="1:8">
      <c r="A26" s="63" t="str">
        <f>'[3]11.F&amp;V Crop Production details'!A87</f>
        <v>Brinjal</v>
      </c>
      <c r="B26" s="63">
        <f>'[3]11.F&amp;V Crop Production details'!B87</f>
        <v>0</v>
      </c>
      <c r="C26" s="63">
        <f>'[3]11.F&amp;V Crop Production details'!C87</f>
        <v>0</v>
      </c>
      <c r="D26" s="63">
        <f>'[3]11.F&amp;V Crop Production details'!D87</f>
        <v>0</v>
      </c>
      <c r="E26" s="63">
        <f>'[3]11.F&amp;V Crop Production details'!E87</f>
        <v>0</v>
      </c>
      <c r="F26" s="63">
        <f>'[3]11.F&amp;V Crop Production details'!F87</f>
        <v>0</v>
      </c>
      <c r="G26" s="63">
        <f>'[3]11.F&amp;V Crop Production details'!G87</f>
        <v>0</v>
      </c>
      <c r="H26" s="63">
        <f>'[3]11.F&amp;V Crop Production details'!H87</f>
        <v>0</v>
      </c>
    </row>
    <row r="27" spans="1:8">
      <c r="A27" s="63">
        <f>'[3]11.F&amp;V Crop Production details'!A88</f>
        <v>0</v>
      </c>
      <c r="B27" s="63">
        <f>'[3]11.F&amp;V Crop Production details'!B88</f>
        <v>0</v>
      </c>
      <c r="C27" s="63">
        <f>'[3]11.F&amp;V Crop Production details'!C88</f>
        <v>0</v>
      </c>
      <c r="D27" s="63">
        <f>'[3]11.F&amp;V Crop Production details'!D88</f>
        <v>0</v>
      </c>
      <c r="E27" s="63">
        <f>'[3]11.F&amp;V Crop Production details'!E88</f>
        <v>0</v>
      </c>
      <c r="F27" s="63">
        <f>'[3]11.F&amp;V Crop Production details'!F88</f>
        <v>0</v>
      </c>
      <c r="G27" s="63">
        <f>'[3]11.F&amp;V Crop Production details'!G88</f>
        <v>0</v>
      </c>
      <c r="H27" s="63">
        <f>'[3]11.F&amp;V Crop Production details'!H88</f>
        <v>0</v>
      </c>
    </row>
    <row r="28" spans="1:8">
      <c r="A28" s="63">
        <f>'[3]11.F&amp;V Crop Production details'!A89</f>
        <v>0</v>
      </c>
      <c r="B28" s="63">
        <f>'[3]11.F&amp;V Crop Production details'!B89</f>
        <v>0</v>
      </c>
      <c r="C28" s="63">
        <f>'[3]11.F&amp;V Crop Production details'!C89</f>
        <v>0</v>
      </c>
      <c r="D28" s="63">
        <f>'[3]11.F&amp;V Crop Production details'!D89</f>
        <v>0</v>
      </c>
      <c r="E28" s="63">
        <f>'[3]11.F&amp;V Crop Production details'!E89</f>
        <v>0</v>
      </c>
      <c r="F28" s="63">
        <f>'[3]11.F&amp;V Crop Production details'!F89</f>
        <v>0</v>
      </c>
      <c r="G28" s="63">
        <f>'[3]11.F&amp;V Crop Production details'!G89</f>
        <v>0</v>
      </c>
      <c r="H28" s="63">
        <f>'[3]11.F&amp;V Crop Production details'!H89</f>
        <v>0</v>
      </c>
    </row>
    <row r="29" spans="1:8">
      <c r="A29" s="63">
        <f>'[3]11.F&amp;V Crop Production details'!A90</f>
        <v>0</v>
      </c>
      <c r="B29" s="63">
        <f>'[3]11.F&amp;V Crop Production details'!B90</f>
        <v>0</v>
      </c>
      <c r="C29" s="63">
        <f>'[3]11.F&amp;V Crop Production details'!C90</f>
        <v>0</v>
      </c>
      <c r="D29" s="63">
        <f>'[3]11.F&amp;V Crop Production details'!D90</f>
        <v>0</v>
      </c>
      <c r="E29" s="63">
        <f>'[3]11.F&amp;V Crop Production details'!E90</f>
        <v>0</v>
      </c>
      <c r="F29" s="63">
        <f>'[3]11.F&amp;V Crop Production details'!F90</f>
        <v>0</v>
      </c>
      <c r="G29" s="63">
        <f>'[3]11.F&amp;V Crop Production details'!G90</f>
        <v>0</v>
      </c>
      <c r="H29" s="63">
        <f>'[3]11.F&amp;V Crop Production details'!H90</f>
        <v>0</v>
      </c>
    </row>
    <row r="30" spans="1:8">
      <c r="A30" s="63">
        <f>'[3]11.F&amp;V Crop Production details'!A91</f>
        <v>0</v>
      </c>
      <c r="B30" s="63">
        <f>'[3]11.F&amp;V Crop Production details'!B91</f>
        <v>0</v>
      </c>
      <c r="C30" s="63">
        <f>'[3]11.F&amp;V Crop Production details'!C91</f>
        <v>0</v>
      </c>
      <c r="D30" s="63">
        <f>'[3]11.F&amp;V Crop Production details'!D91</f>
        <v>0</v>
      </c>
      <c r="E30" s="63">
        <f>'[3]11.F&amp;V Crop Production details'!E91</f>
        <v>0</v>
      </c>
      <c r="F30" s="63">
        <f>'[3]11.F&amp;V Crop Production details'!F91</f>
        <v>0</v>
      </c>
      <c r="G30" s="63">
        <f>'[3]11.F&amp;V Crop Production details'!G91</f>
        <v>0</v>
      </c>
      <c r="H30" s="63">
        <f>'[3]11.F&amp;V Crop Production details'!H91</f>
        <v>0</v>
      </c>
    </row>
    <row r="31" spans="1:8">
      <c r="A31" s="63">
        <f>'[3]11.F&amp;V Crop Production details'!A92</f>
        <v>0</v>
      </c>
      <c r="B31" s="63">
        <f>'[3]11.F&amp;V Crop Production details'!B92</f>
        <v>0</v>
      </c>
      <c r="C31" s="63">
        <f>'[3]11.F&amp;V Crop Production details'!C92</f>
        <v>0</v>
      </c>
      <c r="D31" s="63">
        <f>'[3]11.F&amp;V Crop Production details'!D92</f>
        <v>0</v>
      </c>
      <c r="E31" s="63">
        <f>'[3]11.F&amp;V Crop Production details'!E92</f>
        <v>0</v>
      </c>
      <c r="F31" s="63">
        <f>'[3]11.F&amp;V Crop Production details'!F92</f>
        <v>0</v>
      </c>
      <c r="G31" s="63">
        <f>'[3]11.F&amp;V Crop Production details'!G92</f>
        <v>0</v>
      </c>
      <c r="H31" s="63">
        <f>'[3]11.F&amp;V Crop Production details'!H92</f>
        <v>0</v>
      </c>
    </row>
    <row r="32" spans="1:8">
      <c r="A32" s="63">
        <f>'[3]11.F&amp;V Crop Production details'!A93</f>
        <v>0</v>
      </c>
      <c r="B32" s="63">
        <f>'[3]11.F&amp;V Crop Production details'!B93</f>
        <v>0</v>
      </c>
      <c r="C32" s="63">
        <f>'[3]11.F&amp;V Crop Production details'!C93</f>
        <v>0</v>
      </c>
      <c r="D32" s="63">
        <f>'[3]11.F&amp;V Crop Production details'!D93</f>
        <v>0</v>
      </c>
      <c r="E32" s="63">
        <f>'[3]11.F&amp;V Crop Production details'!E93</f>
        <v>0</v>
      </c>
      <c r="F32" s="63">
        <f>'[3]11.F&amp;V Crop Production details'!F93</f>
        <v>0</v>
      </c>
      <c r="G32" s="63">
        <f>'[3]11.F&amp;V Crop Production details'!G93</f>
        <v>0</v>
      </c>
      <c r="H32" s="63">
        <f>'[3]11.F&amp;V Crop Production details'!H93</f>
        <v>0</v>
      </c>
    </row>
    <row r="33" spans="1:8">
      <c r="A33" s="63">
        <f>'[3]11.F&amp;V Crop Production details'!A94</f>
        <v>0</v>
      </c>
      <c r="B33" s="63">
        <f>'[3]11.F&amp;V Crop Production details'!B94</f>
        <v>0</v>
      </c>
      <c r="C33" s="63">
        <f>'[3]11.F&amp;V Crop Production details'!C94</f>
        <v>0</v>
      </c>
      <c r="D33" s="63">
        <f>'[3]11.F&amp;V Crop Production details'!D94</f>
        <v>0</v>
      </c>
      <c r="E33" s="63">
        <f>'[3]11.F&amp;V Crop Production details'!E94</f>
        <v>0</v>
      </c>
      <c r="F33" s="63">
        <f>'[3]11.F&amp;V Crop Production details'!F94</f>
        <v>0</v>
      </c>
      <c r="G33" s="63">
        <f>'[3]11.F&amp;V Crop Production details'!G94</f>
        <v>0</v>
      </c>
      <c r="H33" s="63">
        <f>'[3]11.F&amp;V Crop Production details'!H94</f>
        <v>0</v>
      </c>
    </row>
    <row r="34" spans="1:8">
      <c r="A34" s="63" t="str">
        <f>'[3]11.F&amp;V Crop Production details'!A95</f>
        <v>Pomegranate</v>
      </c>
      <c r="B34" s="63">
        <f>'[3]11.F&amp;V Crop Production details'!B95</f>
        <v>0</v>
      </c>
      <c r="C34" s="63">
        <f>'[3]11.F&amp;V Crop Production details'!C95</f>
        <v>0</v>
      </c>
      <c r="D34" s="63">
        <f>'[3]11.F&amp;V Crop Production details'!D95</f>
        <v>0</v>
      </c>
      <c r="E34" s="63">
        <f>'[3]11.F&amp;V Crop Production details'!E95</f>
        <v>0</v>
      </c>
      <c r="F34" s="63">
        <f>'[3]11.F&amp;V Crop Production details'!F95</f>
        <v>0</v>
      </c>
      <c r="G34" s="63">
        <f>'[3]11.F&amp;V Crop Production details'!G95</f>
        <v>0</v>
      </c>
      <c r="H34" s="63">
        <f>'[3]11.F&amp;V Crop Production details'!H95</f>
        <v>0</v>
      </c>
    </row>
    <row r="35" spans="1:8">
      <c r="A35" s="63" t="str">
        <f>'[3]11.F&amp;V Crop Production details'!A96</f>
        <v>Custard Apple</v>
      </c>
      <c r="B35" s="63">
        <f>'[3]11.F&amp;V Crop Production details'!B96</f>
        <v>0</v>
      </c>
      <c r="C35" s="63">
        <f>'[3]11.F&amp;V Crop Production details'!C96</f>
        <v>0</v>
      </c>
      <c r="D35" s="63">
        <f>'[3]11.F&amp;V Crop Production details'!D96</f>
        <v>0</v>
      </c>
      <c r="E35" s="63">
        <f>'[3]11.F&amp;V Crop Production details'!E96</f>
        <v>0</v>
      </c>
      <c r="F35" s="63">
        <f>'[3]11.F&amp;V Crop Production details'!F96</f>
        <v>0</v>
      </c>
      <c r="G35" s="63">
        <f>'[3]11.F&amp;V Crop Production details'!G96</f>
        <v>0</v>
      </c>
      <c r="H35" s="63">
        <f>'[3]11.F&amp;V Crop Production details'!H96</f>
        <v>0</v>
      </c>
    </row>
    <row r="36" spans="1:8">
      <c r="A36" s="63" t="str">
        <f>'[3]11.F&amp;V Crop Production details'!A97</f>
        <v>Guava</v>
      </c>
      <c r="B36" s="63">
        <f>'[3]11.F&amp;V Crop Production details'!B97</f>
        <v>0</v>
      </c>
      <c r="C36" s="63">
        <f>'[3]11.F&amp;V Crop Production details'!C97</f>
        <v>0</v>
      </c>
      <c r="D36" s="63">
        <f>'[3]11.F&amp;V Crop Production details'!D97</f>
        <v>0</v>
      </c>
      <c r="E36" s="63">
        <f>'[3]11.F&amp;V Crop Production details'!E97</f>
        <v>0</v>
      </c>
      <c r="F36" s="63">
        <f>'[3]11.F&amp;V Crop Production details'!F97</f>
        <v>0</v>
      </c>
      <c r="G36" s="63">
        <f>'[3]11.F&amp;V Crop Production details'!G97</f>
        <v>0</v>
      </c>
      <c r="H36" s="63">
        <f>'[3]11.F&amp;V Crop Production details'!H97</f>
        <v>0</v>
      </c>
    </row>
    <row r="37" spans="1:8">
      <c r="A37" s="63" t="str">
        <f>'[3]11.F&amp;V Crop Production details'!A98</f>
        <v>Citrus</v>
      </c>
      <c r="B37" s="63">
        <f>'[3]11.F&amp;V Crop Production details'!B98</f>
        <v>0</v>
      </c>
      <c r="C37" s="63">
        <f>'[3]11.F&amp;V Crop Production details'!C98</f>
        <v>0</v>
      </c>
      <c r="D37" s="63">
        <f>'[3]11.F&amp;V Crop Production details'!D98</f>
        <v>0</v>
      </c>
      <c r="E37" s="63">
        <f>'[3]11.F&amp;V Crop Production details'!E98</f>
        <v>0</v>
      </c>
      <c r="F37" s="63">
        <f>'[3]11.F&amp;V Crop Production details'!F98</f>
        <v>0</v>
      </c>
      <c r="G37" s="63">
        <f>'[3]11.F&amp;V Crop Production details'!G98</f>
        <v>0</v>
      </c>
      <c r="H37" s="63">
        <f>'[3]11.F&amp;V Crop Production details'!H98</f>
        <v>0</v>
      </c>
    </row>
    <row r="38" spans="1:8">
      <c r="A38" s="63"/>
      <c r="B38" s="63"/>
      <c r="C38" s="63"/>
      <c r="D38" s="63"/>
      <c r="E38" s="63"/>
      <c r="F38" s="63"/>
      <c r="G38" s="63"/>
      <c r="H38" s="63"/>
    </row>
    <row r="39" spans="1:8">
      <c r="A39" s="63" t="s">
        <v>448</v>
      </c>
      <c r="B39" s="63">
        <f>SUM(B13:B37)</f>
        <v>0</v>
      </c>
      <c r="C39" s="63">
        <f t="shared" ref="C39:H39" si="1">SUM(C13:C37)</f>
        <v>0</v>
      </c>
      <c r="D39" s="63">
        <f t="shared" si="1"/>
        <v>0</v>
      </c>
      <c r="E39" s="63">
        <f t="shared" si="1"/>
        <v>0</v>
      </c>
      <c r="F39" s="63">
        <f t="shared" si="1"/>
        <v>0</v>
      </c>
      <c r="G39" s="63">
        <f t="shared" si="1"/>
        <v>0</v>
      </c>
      <c r="H39" s="63">
        <f t="shared" si="1"/>
        <v>0</v>
      </c>
    </row>
    <row r="40" spans="1:8">
      <c r="A40" s="234" t="s">
        <v>160</v>
      </c>
      <c r="B40" s="205">
        <v>0</v>
      </c>
      <c r="C40" s="205">
        <f>B40</f>
        <v>0</v>
      </c>
      <c r="D40" s="205">
        <f t="shared" ref="D40:H40" si="2">C40</f>
        <v>0</v>
      </c>
      <c r="E40" s="205">
        <f t="shared" si="2"/>
        <v>0</v>
      </c>
      <c r="F40" s="205">
        <f t="shared" si="2"/>
        <v>0</v>
      </c>
      <c r="G40" s="205">
        <f t="shared" si="2"/>
        <v>0</v>
      </c>
      <c r="H40" s="205">
        <f t="shared" si="2"/>
        <v>0</v>
      </c>
    </row>
    <row r="41" spans="1:8">
      <c r="A41" s="63" t="s">
        <v>457</v>
      </c>
      <c r="B41" s="129">
        <f>1-B40</f>
        <v>1</v>
      </c>
      <c r="C41" s="129">
        <f t="shared" ref="C41:H41" si="3">1-C40</f>
        <v>1</v>
      </c>
      <c r="D41" s="129">
        <f t="shared" si="3"/>
        <v>1</v>
      </c>
      <c r="E41" s="129">
        <f t="shared" si="3"/>
        <v>1</v>
      </c>
      <c r="F41" s="129">
        <f t="shared" si="3"/>
        <v>1</v>
      </c>
      <c r="G41" s="129">
        <f t="shared" si="3"/>
        <v>1</v>
      </c>
      <c r="H41" s="129">
        <f t="shared" si="3"/>
        <v>1</v>
      </c>
    </row>
    <row r="42" spans="1:8">
      <c r="A42" s="65" t="s">
        <v>160</v>
      </c>
      <c r="B42" s="191">
        <f>B39*B40</f>
        <v>0</v>
      </c>
      <c r="C42" s="191">
        <f t="shared" ref="C42:H42" si="4">C39*C40</f>
        <v>0</v>
      </c>
      <c r="D42" s="191">
        <f t="shared" si="4"/>
        <v>0</v>
      </c>
      <c r="E42" s="191">
        <f t="shared" si="4"/>
        <v>0</v>
      </c>
      <c r="F42" s="191">
        <f t="shared" si="4"/>
        <v>0</v>
      </c>
      <c r="G42" s="191">
        <f t="shared" si="4"/>
        <v>0</v>
      </c>
      <c r="H42" s="191">
        <f t="shared" si="4"/>
        <v>0</v>
      </c>
    </row>
    <row r="43" spans="1:8">
      <c r="A43" s="65" t="s">
        <v>161</v>
      </c>
      <c r="B43" s="79"/>
      <c r="C43" s="79"/>
      <c r="D43" s="79"/>
      <c r="E43" s="79"/>
      <c r="F43" s="79"/>
      <c r="G43" s="79"/>
      <c r="H43" s="79"/>
    </row>
    <row r="44" spans="1:8">
      <c r="A44" s="63" t="str">
        <f t="shared" ref="A44:A61" si="5">A13</f>
        <v>Onion</v>
      </c>
      <c r="B44" s="64">
        <f t="shared" ref="B44:B61" si="6">B13*$B$41</f>
        <v>0</v>
      </c>
      <c r="C44" s="64">
        <f t="shared" ref="C44:C61" si="7">C13*$C$41</f>
        <v>0</v>
      </c>
      <c r="D44" s="64">
        <f t="shared" ref="D44:D61" si="8">D13*$D$41</f>
        <v>0</v>
      </c>
      <c r="E44" s="64">
        <f t="shared" ref="E44:E61" si="9">E13*$E$41</f>
        <v>0</v>
      </c>
      <c r="F44" s="64">
        <f t="shared" ref="F44:F61" si="10">F13*$F$41</f>
        <v>0</v>
      </c>
      <c r="G44" s="64">
        <f t="shared" ref="G44:G61" si="11">G13*$G$41</f>
        <v>0</v>
      </c>
      <c r="H44" s="64">
        <f t="shared" ref="H44:H61" si="12">H13*$H$41</f>
        <v>0</v>
      </c>
    </row>
    <row r="45" spans="1:8">
      <c r="A45" s="63" t="str">
        <f t="shared" si="5"/>
        <v>Tomato</v>
      </c>
      <c r="B45" s="64">
        <f t="shared" si="6"/>
        <v>0</v>
      </c>
      <c r="C45" s="64">
        <f t="shared" si="7"/>
        <v>0</v>
      </c>
      <c r="D45" s="64">
        <f t="shared" si="8"/>
        <v>0</v>
      </c>
      <c r="E45" s="64">
        <f t="shared" si="9"/>
        <v>0</v>
      </c>
      <c r="F45" s="64">
        <f t="shared" si="10"/>
        <v>0</v>
      </c>
      <c r="G45" s="64">
        <f t="shared" si="11"/>
        <v>0</v>
      </c>
      <c r="H45" s="64">
        <f t="shared" si="12"/>
        <v>0</v>
      </c>
    </row>
    <row r="46" spans="1:8">
      <c r="A46" s="63" t="str">
        <f t="shared" si="5"/>
        <v>Okra</v>
      </c>
      <c r="B46" s="64">
        <f t="shared" si="6"/>
        <v>0</v>
      </c>
      <c r="C46" s="64">
        <f t="shared" si="7"/>
        <v>0</v>
      </c>
      <c r="D46" s="64">
        <f t="shared" si="8"/>
        <v>0</v>
      </c>
      <c r="E46" s="64">
        <f t="shared" si="9"/>
        <v>0</v>
      </c>
      <c r="F46" s="64">
        <f t="shared" si="10"/>
        <v>0</v>
      </c>
      <c r="G46" s="64">
        <f t="shared" si="11"/>
        <v>0</v>
      </c>
      <c r="H46" s="64">
        <f t="shared" si="12"/>
        <v>0</v>
      </c>
    </row>
    <row r="47" spans="1:8">
      <c r="A47" s="63" t="str">
        <f t="shared" si="5"/>
        <v>Chilli</v>
      </c>
      <c r="B47" s="64">
        <f t="shared" si="6"/>
        <v>0</v>
      </c>
      <c r="C47" s="64">
        <f t="shared" si="7"/>
        <v>0</v>
      </c>
      <c r="D47" s="64">
        <f t="shared" si="8"/>
        <v>0</v>
      </c>
      <c r="E47" s="64">
        <f t="shared" si="9"/>
        <v>0</v>
      </c>
      <c r="F47" s="64">
        <f t="shared" si="10"/>
        <v>0</v>
      </c>
      <c r="G47" s="64">
        <f t="shared" si="11"/>
        <v>0</v>
      </c>
      <c r="H47" s="64">
        <f t="shared" si="12"/>
        <v>0</v>
      </c>
    </row>
    <row r="48" spans="1:8">
      <c r="A48" s="63" t="str">
        <f t="shared" si="5"/>
        <v>Potato</v>
      </c>
      <c r="B48" s="64">
        <f t="shared" si="6"/>
        <v>0</v>
      </c>
      <c r="C48" s="64">
        <f t="shared" si="7"/>
        <v>0</v>
      </c>
      <c r="D48" s="64">
        <f t="shared" si="8"/>
        <v>0</v>
      </c>
      <c r="E48" s="64">
        <f t="shared" si="9"/>
        <v>0</v>
      </c>
      <c r="F48" s="64">
        <f t="shared" si="10"/>
        <v>0</v>
      </c>
      <c r="G48" s="64">
        <f t="shared" si="11"/>
        <v>0</v>
      </c>
      <c r="H48" s="64">
        <f t="shared" si="12"/>
        <v>0</v>
      </c>
    </row>
    <row r="49" spans="1:8">
      <c r="A49" s="63">
        <f t="shared" si="5"/>
        <v>0</v>
      </c>
      <c r="B49" s="64">
        <f t="shared" si="6"/>
        <v>0</v>
      </c>
      <c r="C49" s="64">
        <f t="shared" si="7"/>
        <v>0</v>
      </c>
      <c r="D49" s="64">
        <f t="shared" si="8"/>
        <v>0</v>
      </c>
      <c r="E49" s="64">
        <f t="shared" si="9"/>
        <v>0</v>
      </c>
      <c r="F49" s="64">
        <f t="shared" si="10"/>
        <v>0</v>
      </c>
      <c r="G49" s="64">
        <f t="shared" si="11"/>
        <v>0</v>
      </c>
      <c r="H49" s="64">
        <f t="shared" si="12"/>
        <v>0</v>
      </c>
    </row>
    <row r="50" spans="1:8">
      <c r="A50" s="63">
        <f t="shared" si="5"/>
        <v>0</v>
      </c>
      <c r="B50" s="64">
        <f t="shared" si="6"/>
        <v>0</v>
      </c>
      <c r="C50" s="64">
        <f t="shared" si="7"/>
        <v>0</v>
      </c>
      <c r="D50" s="64">
        <f t="shared" si="8"/>
        <v>0</v>
      </c>
      <c r="E50" s="64">
        <f t="shared" si="9"/>
        <v>0</v>
      </c>
      <c r="F50" s="64">
        <f t="shared" si="10"/>
        <v>0</v>
      </c>
      <c r="G50" s="64">
        <f t="shared" si="11"/>
        <v>0</v>
      </c>
      <c r="H50" s="64">
        <f t="shared" si="12"/>
        <v>0</v>
      </c>
    </row>
    <row r="51" spans="1:8">
      <c r="A51" s="63">
        <f t="shared" si="5"/>
        <v>0</v>
      </c>
      <c r="B51" s="64">
        <f t="shared" si="6"/>
        <v>0</v>
      </c>
      <c r="C51" s="64">
        <f t="shared" si="7"/>
        <v>0</v>
      </c>
      <c r="D51" s="64">
        <f t="shared" si="8"/>
        <v>0</v>
      </c>
      <c r="E51" s="64">
        <f t="shared" si="9"/>
        <v>0</v>
      </c>
      <c r="F51" s="64">
        <f t="shared" si="10"/>
        <v>0</v>
      </c>
      <c r="G51" s="64">
        <f t="shared" si="11"/>
        <v>0</v>
      </c>
      <c r="H51" s="64">
        <f t="shared" si="12"/>
        <v>0</v>
      </c>
    </row>
    <row r="52" spans="1:8">
      <c r="A52" s="63">
        <f t="shared" si="5"/>
        <v>0</v>
      </c>
      <c r="B52" s="64">
        <f t="shared" si="6"/>
        <v>0</v>
      </c>
      <c r="C52" s="64">
        <f t="shared" si="7"/>
        <v>0</v>
      </c>
      <c r="D52" s="64">
        <f t="shared" si="8"/>
        <v>0</v>
      </c>
      <c r="E52" s="64">
        <f t="shared" si="9"/>
        <v>0</v>
      </c>
      <c r="F52" s="64">
        <f t="shared" si="10"/>
        <v>0</v>
      </c>
      <c r="G52" s="64">
        <f t="shared" si="11"/>
        <v>0</v>
      </c>
      <c r="H52" s="64">
        <f t="shared" si="12"/>
        <v>0</v>
      </c>
    </row>
    <row r="53" spans="1:8">
      <c r="A53" s="63" t="str">
        <f t="shared" si="5"/>
        <v>Onion</v>
      </c>
      <c r="B53" s="64">
        <f t="shared" si="6"/>
        <v>0</v>
      </c>
      <c r="C53" s="64">
        <f t="shared" si="7"/>
        <v>0</v>
      </c>
      <c r="D53" s="64">
        <f t="shared" si="8"/>
        <v>0</v>
      </c>
      <c r="E53" s="64">
        <f t="shared" si="9"/>
        <v>0</v>
      </c>
      <c r="F53" s="64">
        <f t="shared" si="10"/>
        <v>0</v>
      </c>
      <c r="G53" s="64">
        <f t="shared" si="11"/>
        <v>0</v>
      </c>
      <c r="H53" s="64">
        <f t="shared" si="12"/>
        <v>0</v>
      </c>
    </row>
    <row r="54" spans="1:8">
      <c r="A54" s="63" t="str">
        <f t="shared" si="5"/>
        <v>Tomato</v>
      </c>
      <c r="B54" s="64">
        <f t="shared" si="6"/>
        <v>0</v>
      </c>
      <c r="C54" s="64">
        <f t="shared" si="7"/>
        <v>0</v>
      </c>
      <c r="D54" s="64">
        <f t="shared" si="8"/>
        <v>0</v>
      </c>
      <c r="E54" s="64">
        <f t="shared" si="9"/>
        <v>0</v>
      </c>
      <c r="F54" s="64">
        <f t="shared" si="10"/>
        <v>0</v>
      </c>
      <c r="G54" s="64">
        <f t="shared" si="11"/>
        <v>0</v>
      </c>
      <c r="H54" s="64">
        <f t="shared" si="12"/>
        <v>0</v>
      </c>
    </row>
    <row r="55" spans="1:8">
      <c r="A55" s="63" t="str">
        <f t="shared" si="5"/>
        <v>Okra</v>
      </c>
      <c r="B55" s="64">
        <f t="shared" si="6"/>
        <v>0</v>
      </c>
      <c r="C55" s="64">
        <f t="shared" si="7"/>
        <v>0</v>
      </c>
      <c r="D55" s="64">
        <f t="shared" si="8"/>
        <v>0</v>
      </c>
      <c r="E55" s="64">
        <f t="shared" si="9"/>
        <v>0</v>
      </c>
      <c r="F55" s="64">
        <f t="shared" si="10"/>
        <v>0</v>
      </c>
      <c r="G55" s="64">
        <f t="shared" si="11"/>
        <v>0</v>
      </c>
      <c r="H55" s="64">
        <f t="shared" si="12"/>
        <v>0</v>
      </c>
    </row>
    <row r="56" spans="1:8">
      <c r="A56" s="63" t="str">
        <f t="shared" si="5"/>
        <v>Chilli</v>
      </c>
      <c r="B56" s="64">
        <f t="shared" si="6"/>
        <v>0</v>
      </c>
      <c r="C56" s="64">
        <f t="shared" si="7"/>
        <v>0</v>
      </c>
      <c r="D56" s="64">
        <f t="shared" si="8"/>
        <v>0</v>
      </c>
      <c r="E56" s="64">
        <f t="shared" si="9"/>
        <v>0</v>
      </c>
      <c r="F56" s="64">
        <f t="shared" si="10"/>
        <v>0</v>
      </c>
      <c r="G56" s="64">
        <f t="shared" si="11"/>
        <v>0</v>
      </c>
      <c r="H56" s="64">
        <f t="shared" si="12"/>
        <v>0</v>
      </c>
    </row>
    <row r="57" spans="1:8">
      <c r="A57" s="63" t="str">
        <f t="shared" si="5"/>
        <v>Brinjal</v>
      </c>
      <c r="B57" s="64">
        <f t="shared" si="6"/>
        <v>0</v>
      </c>
      <c r="C57" s="64">
        <f t="shared" si="7"/>
        <v>0</v>
      </c>
      <c r="D57" s="64">
        <f t="shared" si="8"/>
        <v>0</v>
      </c>
      <c r="E57" s="64">
        <f t="shared" si="9"/>
        <v>0</v>
      </c>
      <c r="F57" s="64">
        <f t="shared" si="10"/>
        <v>0</v>
      </c>
      <c r="G57" s="64">
        <f t="shared" si="11"/>
        <v>0</v>
      </c>
      <c r="H57" s="64">
        <f t="shared" si="12"/>
        <v>0</v>
      </c>
    </row>
    <row r="58" spans="1:8">
      <c r="A58" s="63">
        <f t="shared" si="5"/>
        <v>0</v>
      </c>
      <c r="B58" s="64">
        <f t="shared" si="6"/>
        <v>0</v>
      </c>
      <c r="C58" s="64">
        <f t="shared" si="7"/>
        <v>0</v>
      </c>
      <c r="D58" s="64">
        <f t="shared" si="8"/>
        <v>0</v>
      </c>
      <c r="E58" s="64">
        <f t="shared" si="9"/>
        <v>0</v>
      </c>
      <c r="F58" s="64">
        <f t="shared" si="10"/>
        <v>0</v>
      </c>
      <c r="G58" s="64">
        <f t="shared" si="11"/>
        <v>0</v>
      </c>
      <c r="H58" s="64">
        <f t="shared" si="12"/>
        <v>0</v>
      </c>
    </row>
    <row r="59" spans="1:8">
      <c r="A59" s="63">
        <f t="shared" si="5"/>
        <v>0</v>
      </c>
      <c r="B59" s="64">
        <f t="shared" si="6"/>
        <v>0</v>
      </c>
      <c r="C59" s="64">
        <f t="shared" si="7"/>
        <v>0</v>
      </c>
      <c r="D59" s="64">
        <f t="shared" si="8"/>
        <v>0</v>
      </c>
      <c r="E59" s="64">
        <f t="shared" si="9"/>
        <v>0</v>
      </c>
      <c r="F59" s="64">
        <f t="shared" si="10"/>
        <v>0</v>
      </c>
      <c r="G59" s="64">
        <f t="shared" si="11"/>
        <v>0</v>
      </c>
      <c r="H59" s="64">
        <f t="shared" si="12"/>
        <v>0</v>
      </c>
    </row>
    <row r="60" spans="1:8">
      <c r="A60" s="63">
        <f t="shared" si="5"/>
        <v>0</v>
      </c>
      <c r="B60" s="64">
        <f t="shared" si="6"/>
        <v>0</v>
      </c>
      <c r="C60" s="64">
        <f t="shared" si="7"/>
        <v>0</v>
      </c>
      <c r="D60" s="64">
        <f t="shared" si="8"/>
        <v>0</v>
      </c>
      <c r="E60" s="64">
        <f t="shared" si="9"/>
        <v>0</v>
      </c>
      <c r="F60" s="64">
        <f t="shared" si="10"/>
        <v>0</v>
      </c>
      <c r="G60" s="64">
        <f t="shared" si="11"/>
        <v>0</v>
      </c>
      <c r="H60" s="64">
        <f t="shared" si="12"/>
        <v>0</v>
      </c>
    </row>
    <row r="61" spans="1:8">
      <c r="A61" s="63">
        <f t="shared" si="5"/>
        <v>0</v>
      </c>
      <c r="B61" s="64">
        <f t="shared" si="6"/>
        <v>0</v>
      </c>
      <c r="C61" s="64">
        <f t="shared" si="7"/>
        <v>0</v>
      </c>
      <c r="D61" s="64">
        <f t="shared" si="8"/>
        <v>0</v>
      </c>
      <c r="E61" s="64">
        <f t="shared" si="9"/>
        <v>0</v>
      </c>
      <c r="F61" s="64">
        <f t="shared" si="10"/>
        <v>0</v>
      </c>
      <c r="G61" s="64">
        <f t="shared" si="11"/>
        <v>0</v>
      </c>
      <c r="H61" s="64">
        <f t="shared" si="12"/>
        <v>0</v>
      </c>
    </row>
    <row r="62" spans="1:8">
      <c r="A62" s="63" t="str">
        <f t="shared" ref="A62" si="13">A34</f>
        <v>Pomegranate</v>
      </c>
      <c r="B62" s="64">
        <f>B34*$B$41</f>
        <v>0</v>
      </c>
      <c r="C62" s="64">
        <f t="shared" ref="C62:H62" si="14">C34*$B$41</f>
        <v>0</v>
      </c>
      <c r="D62" s="64">
        <f t="shared" si="14"/>
        <v>0</v>
      </c>
      <c r="E62" s="64">
        <f t="shared" si="14"/>
        <v>0</v>
      </c>
      <c r="F62" s="64">
        <f t="shared" si="14"/>
        <v>0</v>
      </c>
      <c r="G62" s="64">
        <f t="shared" si="14"/>
        <v>0</v>
      </c>
      <c r="H62" s="64">
        <f t="shared" si="14"/>
        <v>0</v>
      </c>
    </row>
    <row r="63" spans="1:8">
      <c r="A63" s="63" t="str">
        <f>A35</f>
        <v>Custard Apple</v>
      </c>
      <c r="B63" s="64">
        <f t="shared" ref="B63:H65" si="15">B35*$B$41</f>
        <v>0</v>
      </c>
      <c r="C63" s="64">
        <f t="shared" si="15"/>
        <v>0</v>
      </c>
      <c r="D63" s="64">
        <f t="shared" si="15"/>
        <v>0</v>
      </c>
      <c r="E63" s="64">
        <f t="shared" si="15"/>
        <v>0</v>
      </c>
      <c r="F63" s="64">
        <f t="shared" si="15"/>
        <v>0</v>
      </c>
      <c r="G63" s="64">
        <f t="shared" si="15"/>
        <v>0</v>
      </c>
      <c r="H63" s="64">
        <f t="shared" si="15"/>
        <v>0</v>
      </c>
    </row>
    <row r="64" spans="1:8">
      <c r="A64" s="63" t="str">
        <f>A36</f>
        <v>Guava</v>
      </c>
      <c r="B64" s="64">
        <f t="shared" si="15"/>
        <v>0</v>
      </c>
      <c r="C64" s="64">
        <f t="shared" si="15"/>
        <v>0</v>
      </c>
      <c r="D64" s="64">
        <f t="shared" si="15"/>
        <v>0</v>
      </c>
      <c r="E64" s="64">
        <f t="shared" si="15"/>
        <v>0</v>
      </c>
      <c r="F64" s="64">
        <f t="shared" si="15"/>
        <v>0</v>
      </c>
      <c r="G64" s="64">
        <f t="shared" si="15"/>
        <v>0</v>
      </c>
      <c r="H64" s="64">
        <f t="shared" si="15"/>
        <v>0</v>
      </c>
    </row>
    <row r="65" spans="1:8">
      <c r="A65" s="63" t="str">
        <f>A37</f>
        <v>Citrus</v>
      </c>
      <c r="B65" s="64">
        <f t="shared" si="15"/>
        <v>0</v>
      </c>
      <c r="C65" s="64">
        <f t="shared" si="15"/>
        <v>0</v>
      </c>
      <c r="D65" s="64">
        <f t="shared" si="15"/>
        <v>0</v>
      </c>
      <c r="E65" s="64">
        <f t="shared" si="15"/>
        <v>0</v>
      </c>
      <c r="F65" s="64">
        <f t="shared" si="15"/>
        <v>0</v>
      </c>
      <c r="G65" s="64">
        <f t="shared" si="15"/>
        <v>0</v>
      </c>
      <c r="H65" s="64">
        <f t="shared" si="15"/>
        <v>0</v>
      </c>
    </row>
    <row r="66" spans="1:8">
      <c r="A66" s="65" t="s">
        <v>277</v>
      </c>
      <c r="B66" s="63"/>
      <c r="C66" s="63"/>
      <c r="D66" s="63"/>
      <c r="E66" s="63"/>
      <c r="F66" s="63"/>
      <c r="G66" s="63"/>
      <c r="H66" s="63"/>
    </row>
    <row r="67" spans="1:8">
      <c r="A67" s="63" t="str">
        <f>A44</f>
        <v>Onion</v>
      </c>
      <c r="B67" s="130"/>
      <c r="C67" s="130"/>
      <c r="D67" s="130"/>
      <c r="E67" s="130"/>
      <c r="F67" s="130"/>
      <c r="G67" s="130"/>
      <c r="H67" s="130"/>
    </row>
    <row r="68" spans="1:8">
      <c r="A68" s="63"/>
      <c r="B68" s="130"/>
      <c r="C68" s="130"/>
      <c r="D68" s="130"/>
      <c r="E68" s="130"/>
      <c r="F68" s="130"/>
      <c r="G68" s="130"/>
      <c r="H68" s="130"/>
    </row>
    <row r="69" spans="1:8">
      <c r="A69" s="63"/>
      <c r="B69" s="130"/>
      <c r="C69" s="130"/>
      <c r="D69" s="130"/>
      <c r="E69" s="130"/>
      <c r="F69" s="130"/>
      <c r="G69" s="130"/>
      <c r="H69" s="130"/>
    </row>
    <row r="70" spans="1:8">
      <c r="A70" s="63"/>
      <c r="B70" s="130"/>
      <c r="C70" s="130"/>
      <c r="D70" s="130"/>
      <c r="E70" s="130"/>
      <c r="F70" s="130"/>
      <c r="G70" s="130"/>
      <c r="H70" s="130"/>
    </row>
    <row r="71" spans="1:8">
      <c r="A71" s="63" t="str">
        <f>A45</f>
        <v>Tomato</v>
      </c>
      <c r="B71" s="64"/>
      <c r="C71" s="64"/>
      <c r="D71" s="64"/>
      <c r="E71" s="64"/>
      <c r="F71" s="64"/>
      <c r="G71" s="64"/>
      <c r="H71" s="64"/>
    </row>
    <row r="72" spans="1:8">
      <c r="A72" s="63"/>
      <c r="B72" s="64"/>
      <c r="C72" s="64"/>
      <c r="D72" s="64"/>
      <c r="E72" s="64"/>
      <c r="F72" s="64"/>
      <c r="G72" s="64"/>
      <c r="H72" s="64"/>
    </row>
    <row r="73" spans="1:8">
      <c r="A73" s="63"/>
      <c r="B73" s="64"/>
      <c r="C73" s="64"/>
      <c r="D73" s="64"/>
      <c r="E73" s="64"/>
      <c r="F73" s="64"/>
      <c r="G73" s="64"/>
      <c r="H73" s="64"/>
    </row>
    <row r="74" spans="1:8">
      <c r="A74" s="63"/>
      <c r="B74" s="64"/>
      <c r="C74" s="64"/>
      <c r="D74" s="64"/>
      <c r="E74" s="64"/>
      <c r="F74" s="64"/>
      <c r="G74" s="64"/>
      <c r="H74" s="64"/>
    </row>
    <row r="75" spans="1:8">
      <c r="A75" s="63" t="str">
        <f>A46</f>
        <v>Okra</v>
      </c>
      <c r="B75" s="64"/>
      <c r="C75" s="64"/>
      <c r="D75" s="64"/>
      <c r="E75" s="64"/>
      <c r="F75" s="64"/>
      <c r="G75" s="64"/>
      <c r="H75" s="64"/>
    </row>
    <row r="76" spans="1:8">
      <c r="A76" s="63"/>
      <c r="B76" s="64"/>
      <c r="C76" s="64"/>
      <c r="D76" s="64"/>
      <c r="E76" s="64"/>
      <c r="F76" s="64"/>
      <c r="G76" s="64"/>
      <c r="H76" s="64"/>
    </row>
    <row r="77" spans="1:8">
      <c r="A77" s="63"/>
      <c r="B77" s="64"/>
      <c r="C77" s="64"/>
      <c r="D77" s="64"/>
      <c r="E77" s="64"/>
      <c r="F77" s="64"/>
      <c r="G77" s="64"/>
      <c r="H77" s="64"/>
    </row>
    <row r="78" spans="1:8">
      <c r="A78" s="63"/>
      <c r="B78" s="64"/>
      <c r="C78" s="64"/>
      <c r="D78" s="64"/>
      <c r="E78" s="64"/>
      <c r="F78" s="64"/>
      <c r="G78" s="64"/>
      <c r="H78" s="64"/>
    </row>
    <row r="79" spans="1:8">
      <c r="A79" s="63" t="str">
        <f>A47</f>
        <v>Chilli</v>
      </c>
      <c r="B79" s="64"/>
      <c r="C79" s="64"/>
      <c r="D79" s="64"/>
      <c r="E79" s="64"/>
      <c r="F79" s="64"/>
      <c r="G79" s="64"/>
      <c r="H79" s="64"/>
    </row>
    <row r="80" spans="1:8">
      <c r="A80" s="63"/>
      <c r="B80" s="64"/>
      <c r="C80" s="64"/>
      <c r="D80" s="64"/>
      <c r="E80" s="64"/>
      <c r="F80" s="64"/>
      <c r="G80" s="64"/>
      <c r="H80" s="64"/>
    </row>
    <row r="81" spans="1:8">
      <c r="A81" s="63"/>
      <c r="B81" s="64"/>
      <c r="C81" s="64"/>
      <c r="D81" s="64"/>
      <c r="E81" s="64"/>
      <c r="F81" s="64"/>
      <c r="G81" s="64"/>
      <c r="H81" s="64"/>
    </row>
    <row r="82" spans="1:8">
      <c r="A82" s="63"/>
      <c r="B82" s="64"/>
      <c r="C82" s="64"/>
      <c r="D82" s="64"/>
      <c r="E82" s="64"/>
      <c r="F82" s="64"/>
      <c r="G82" s="64"/>
      <c r="H82" s="64"/>
    </row>
    <row r="83" spans="1:8">
      <c r="A83" s="63" t="str">
        <f>A48</f>
        <v>Potato</v>
      </c>
      <c r="B83" s="64"/>
      <c r="C83" s="64"/>
      <c r="D83" s="64"/>
      <c r="E83" s="64"/>
      <c r="F83" s="64"/>
      <c r="G83" s="64"/>
      <c r="H83" s="64"/>
    </row>
    <row r="84" spans="1:8">
      <c r="A84" s="63"/>
      <c r="B84" s="64"/>
      <c r="C84" s="64"/>
      <c r="D84" s="64"/>
      <c r="E84" s="64"/>
      <c r="F84" s="64"/>
      <c r="G84" s="64"/>
      <c r="H84" s="64"/>
    </row>
    <row r="85" spans="1:8">
      <c r="A85" s="63"/>
      <c r="B85" s="64"/>
      <c r="C85" s="64"/>
      <c r="D85" s="64"/>
      <c r="E85" s="64"/>
      <c r="F85" s="64"/>
      <c r="G85" s="64"/>
      <c r="H85" s="64"/>
    </row>
    <row r="86" spans="1:8">
      <c r="A86" s="63"/>
      <c r="B86" s="64"/>
      <c r="C86" s="64"/>
      <c r="D86" s="64"/>
      <c r="E86" s="64"/>
      <c r="F86" s="64"/>
      <c r="G86" s="64"/>
      <c r="H86" s="64"/>
    </row>
    <row r="87" spans="1:8">
      <c r="A87" s="63">
        <f>A49</f>
        <v>0</v>
      </c>
      <c r="B87" s="64"/>
      <c r="C87" s="64"/>
      <c r="D87" s="64"/>
      <c r="E87" s="64"/>
      <c r="F87" s="64"/>
      <c r="G87" s="64"/>
      <c r="H87" s="64"/>
    </row>
    <row r="88" spans="1:8">
      <c r="A88" s="63"/>
      <c r="B88" s="64"/>
      <c r="C88" s="64"/>
      <c r="D88" s="64"/>
      <c r="E88" s="64"/>
      <c r="F88" s="64"/>
      <c r="G88" s="64"/>
      <c r="H88" s="64"/>
    </row>
    <row r="89" spans="1:8">
      <c r="A89" s="63"/>
      <c r="B89" s="64"/>
      <c r="C89" s="64"/>
      <c r="D89" s="64"/>
      <c r="E89" s="64"/>
      <c r="F89" s="64"/>
      <c r="G89" s="64"/>
      <c r="H89" s="64"/>
    </row>
    <row r="90" spans="1:8">
      <c r="A90" s="63"/>
      <c r="B90" s="64"/>
      <c r="C90" s="64"/>
      <c r="D90" s="64"/>
      <c r="E90" s="64"/>
      <c r="F90" s="64"/>
      <c r="G90" s="64"/>
      <c r="H90" s="64"/>
    </row>
    <row r="91" spans="1:8">
      <c r="A91" s="63">
        <f>A50</f>
        <v>0</v>
      </c>
      <c r="B91" s="64"/>
      <c r="C91" s="64"/>
      <c r="D91" s="64"/>
      <c r="E91" s="64"/>
      <c r="F91" s="64"/>
      <c r="G91" s="64"/>
      <c r="H91" s="64"/>
    </row>
    <row r="92" spans="1:8">
      <c r="A92" s="63"/>
      <c r="B92" s="64"/>
      <c r="C92" s="64"/>
      <c r="D92" s="64"/>
      <c r="E92" s="64"/>
      <c r="F92" s="64"/>
      <c r="G92" s="64"/>
      <c r="H92" s="64"/>
    </row>
    <row r="93" spans="1:8">
      <c r="A93" s="63"/>
      <c r="B93" s="64"/>
      <c r="C93" s="64"/>
      <c r="D93" s="64"/>
      <c r="E93" s="64"/>
      <c r="F93" s="64"/>
      <c r="G93" s="64"/>
      <c r="H93" s="64"/>
    </row>
    <row r="94" spans="1:8">
      <c r="A94" s="63">
        <f>A51</f>
        <v>0</v>
      </c>
      <c r="B94" s="64"/>
      <c r="C94" s="64"/>
      <c r="D94" s="64"/>
      <c r="E94" s="64"/>
      <c r="F94" s="64"/>
      <c r="G94" s="64"/>
      <c r="H94" s="64"/>
    </row>
    <row r="95" spans="1:8">
      <c r="A95" s="63"/>
      <c r="B95" s="64"/>
      <c r="C95" s="64"/>
      <c r="D95" s="64"/>
      <c r="E95" s="64"/>
      <c r="F95" s="64"/>
      <c r="G95" s="64"/>
      <c r="H95" s="64"/>
    </row>
    <row r="96" spans="1:8">
      <c r="A96" s="63"/>
      <c r="B96" s="64"/>
      <c r="C96" s="64"/>
      <c r="D96" s="64"/>
      <c r="E96" s="64"/>
      <c r="F96" s="64"/>
      <c r="G96" s="64"/>
      <c r="H96" s="64"/>
    </row>
    <row r="97" spans="1:8">
      <c r="A97" s="63"/>
      <c r="B97" s="64"/>
      <c r="C97" s="64"/>
      <c r="D97" s="64"/>
      <c r="E97" s="64"/>
      <c r="F97" s="64"/>
      <c r="G97" s="64"/>
      <c r="H97" s="64"/>
    </row>
    <row r="98" spans="1:8">
      <c r="A98" s="63">
        <f>A52</f>
        <v>0</v>
      </c>
      <c r="B98" s="64"/>
      <c r="C98" s="64"/>
      <c r="D98" s="64"/>
      <c r="E98" s="64"/>
      <c r="F98" s="64"/>
      <c r="G98" s="64"/>
      <c r="H98" s="64"/>
    </row>
    <row r="99" spans="1:8">
      <c r="A99" s="63"/>
      <c r="B99" s="64"/>
      <c r="C99" s="64"/>
      <c r="D99" s="64"/>
      <c r="E99" s="64"/>
      <c r="F99" s="64"/>
      <c r="G99" s="64"/>
      <c r="H99" s="64"/>
    </row>
    <row r="100" spans="1:8">
      <c r="A100" s="63"/>
      <c r="B100" s="64"/>
      <c r="C100" s="64"/>
      <c r="D100" s="64"/>
      <c r="E100" s="64"/>
      <c r="F100" s="64"/>
      <c r="G100" s="64"/>
      <c r="H100" s="64"/>
    </row>
    <row r="101" spans="1:8">
      <c r="A101" s="63"/>
      <c r="B101" s="64"/>
      <c r="C101" s="64"/>
      <c r="D101" s="64"/>
      <c r="E101" s="64"/>
      <c r="F101" s="64"/>
      <c r="G101" s="64"/>
      <c r="H101" s="64"/>
    </row>
    <row r="102" spans="1:8">
      <c r="A102" s="63" t="str">
        <f>A53</f>
        <v>Onion</v>
      </c>
      <c r="B102" s="64"/>
      <c r="C102" s="64"/>
      <c r="D102" s="64"/>
      <c r="E102" s="64"/>
      <c r="F102" s="64"/>
      <c r="G102" s="64"/>
      <c r="H102" s="64"/>
    </row>
    <row r="103" spans="1:8">
      <c r="A103" s="63"/>
      <c r="B103" s="64"/>
      <c r="C103" s="64"/>
      <c r="D103" s="64"/>
      <c r="E103" s="64"/>
      <c r="F103" s="64"/>
      <c r="G103" s="64"/>
      <c r="H103" s="64"/>
    </row>
    <row r="104" spans="1:8">
      <c r="A104" s="63"/>
      <c r="B104" s="64"/>
      <c r="C104" s="64"/>
      <c r="D104" s="64"/>
      <c r="E104" s="64"/>
      <c r="F104" s="64"/>
      <c r="G104" s="64"/>
      <c r="H104" s="64"/>
    </row>
    <row r="105" spans="1:8">
      <c r="A105" s="63"/>
      <c r="B105" s="64"/>
      <c r="C105" s="64"/>
      <c r="D105" s="64"/>
      <c r="E105" s="64"/>
      <c r="F105" s="64"/>
      <c r="G105" s="64"/>
      <c r="H105" s="64"/>
    </row>
    <row r="106" spans="1:8">
      <c r="A106" s="63" t="str">
        <f>A54</f>
        <v>Tomato</v>
      </c>
      <c r="B106" s="64"/>
      <c r="C106" s="64"/>
      <c r="D106" s="64"/>
      <c r="E106" s="64"/>
      <c r="F106" s="64"/>
      <c r="G106" s="64"/>
      <c r="H106" s="64"/>
    </row>
    <row r="107" spans="1:8">
      <c r="A107" s="63"/>
      <c r="B107" s="64"/>
      <c r="C107" s="64"/>
      <c r="D107" s="64"/>
      <c r="E107" s="64"/>
      <c r="F107" s="64"/>
      <c r="G107" s="64"/>
      <c r="H107" s="64"/>
    </row>
    <row r="108" spans="1:8">
      <c r="A108" s="63"/>
      <c r="B108" s="64"/>
      <c r="C108" s="64"/>
      <c r="D108" s="64"/>
      <c r="E108" s="64"/>
      <c r="F108" s="64"/>
      <c r="G108" s="64"/>
      <c r="H108" s="64"/>
    </row>
    <row r="109" spans="1:8">
      <c r="A109" s="63"/>
      <c r="B109" s="64"/>
      <c r="C109" s="64"/>
      <c r="D109" s="64"/>
      <c r="E109" s="64"/>
      <c r="F109" s="64"/>
      <c r="G109" s="64"/>
      <c r="H109" s="64"/>
    </row>
    <row r="110" spans="1:8">
      <c r="A110" s="63" t="str">
        <f>A55</f>
        <v>Okra</v>
      </c>
      <c r="B110" s="64"/>
      <c r="C110" s="64"/>
      <c r="D110" s="64"/>
      <c r="E110" s="64"/>
      <c r="F110" s="64"/>
      <c r="G110" s="64"/>
      <c r="H110" s="64"/>
    </row>
    <row r="111" spans="1:8">
      <c r="A111" s="63"/>
      <c r="B111" s="64"/>
      <c r="C111" s="64"/>
      <c r="D111" s="64"/>
      <c r="E111" s="64"/>
      <c r="F111" s="64"/>
      <c r="G111" s="64"/>
      <c r="H111" s="64"/>
    </row>
    <row r="112" spans="1:8">
      <c r="A112" s="63"/>
      <c r="B112" s="64"/>
      <c r="C112" s="64"/>
      <c r="D112" s="64"/>
      <c r="E112" s="64"/>
      <c r="F112" s="64"/>
      <c r="G112" s="64"/>
      <c r="H112" s="64"/>
    </row>
    <row r="113" spans="1:8">
      <c r="A113" s="63"/>
      <c r="B113" s="64"/>
      <c r="C113" s="64"/>
      <c r="D113" s="64"/>
      <c r="E113" s="64"/>
      <c r="F113" s="64"/>
      <c r="G113" s="64"/>
      <c r="H113" s="64"/>
    </row>
    <row r="114" spans="1:8">
      <c r="A114" s="63" t="str">
        <f>A56</f>
        <v>Chilli</v>
      </c>
      <c r="B114" s="64"/>
      <c r="C114" s="64"/>
      <c r="D114" s="64"/>
      <c r="E114" s="64"/>
      <c r="F114" s="64"/>
      <c r="G114" s="64"/>
      <c r="H114" s="64"/>
    </row>
    <row r="115" spans="1:8">
      <c r="A115" s="63"/>
      <c r="B115" s="64"/>
      <c r="C115" s="64"/>
      <c r="D115" s="64"/>
      <c r="E115" s="64"/>
      <c r="F115" s="64"/>
      <c r="G115" s="64"/>
      <c r="H115" s="64"/>
    </row>
    <row r="116" spans="1:8">
      <c r="A116" s="63"/>
      <c r="B116" s="64"/>
      <c r="C116" s="64"/>
      <c r="D116" s="64"/>
      <c r="E116" s="64"/>
      <c r="F116" s="64"/>
      <c r="G116" s="64"/>
      <c r="H116" s="64"/>
    </row>
    <row r="117" spans="1:8">
      <c r="A117" s="63"/>
      <c r="B117" s="64"/>
      <c r="C117" s="64"/>
      <c r="D117" s="64"/>
      <c r="E117" s="64"/>
      <c r="F117" s="64"/>
      <c r="G117" s="64"/>
      <c r="H117" s="64"/>
    </row>
    <row r="118" spans="1:8">
      <c r="A118" s="65" t="str">
        <f t="shared" ref="A118:A123" si="16">A57</f>
        <v>Brinjal</v>
      </c>
      <c r="B118" s="64"/>
      <c r="C118" s="64"/>
      <c r="D118" s="64"/>
      <c r="E118" s="64"/>
      <c r="F118" s="64"/>
      <c r="G118" s="64"/>
      <c r="H118" s="64"/>
    </row>
    <row r="119" spans="1:8">
      <c r="A119" s="63">
        <f t="shared" si="16"/>
        <v>0</v>
      </c>
      <c r="B119" s="64"/>
      <c r="C119" s="64"/>
      <c r="D119" s="64"/>
      <c r="E119" s="64"/>
      <c r="F119" s="64"/>
      <c r="G119" s="64"/>
      <c r="H119" s="64"/>
    </row>
    <row r="120" spans="1:8">
      <c r="A120" s="63">
        <f t="shared" si="16"/>
        <v>0</v>
      </c>
      <c r="B120" s="64"/>
      <c r="C120" s="64"/>
      <c r="D120" s="64"/>
      <c r="E120" s="64"/>
      <c r="F120" s="64"/>
      <c r="G120" s="64"/>
      <c r="H120" s="64"/>
    </row>
    <row r="121" spans="1:8">
      <c r="A121" s="63">
        <f t="shared" si="16"/>
        <v>0</v>
      </c>
      <c r="B121" s="64"/>
      <c r="C121" s="64"/>
      <c r="D121" s="64"/>
      <c r="E121" s="64"/>
      <c r="F121" s="64"/>
      <c r="G121" s="64"/>
      <c r="H121" s="64"/>
    </row>
    <row r="122" spans="1:8">
      <c r="A122" s="63">
        <f t="shared" si="16"/>
        <v>0</v>
      </c>
      <c r="B122" s="64"/>
      <c r="C122" s="64"/>
      <c r="D122" s="64"/>
      <c r="E122" s="64"/>
      <c r="F122" s="64"/>
      <c r="G122" s="64"/>
      <c r="H122" s="64"/>
    </row>
    <row r="123" spans="1:8">
      <c r="A123" s="65" t="str">
        <f t="shared" si="16"/>
        <v>Pomegranate</v>
      </c>
      <c r="B123" s="64"/>
      <c r="C123" s="64"/>
      <c r="D123" s="64"/>
      <c r="E123" s="64"/>
      <c r="F123" s="64"/>
      <c r="G123" s="64"/>
      <c r="H123" s="64"/>
    </row>
    <row r="124" spans="1:8">
      <c r="A124" s="63" t="s">
        <v>873</v>
      </c>
      <c r="B124" s="64">
        <f>(B$62*50%)*0.7</f>
        <v>0</v>
      </c>
      <c r="C124" s="64">
        <f>(C$62*50%)*0.7</f>
        <v>0</v>
      </c>
      <c r="D124" s="64">
        <f t="shared" ref="D124:H126" si="17">(D$62*50%)*0.7</f>
        <v>0</v>
      </c>
      <c r="E124" s="64">
        <f t="shared" si="17"/>
        <v>0</v>
      </c>
      <c r="F124" s="64">
        <f t="shared" si="17"/>
        <v>0</v>
      </c>
      <c r="G124" s="64">
        <f t="shared" si="17"/>
        <v>0</v>
      </c>
      <c r="H124" s="64">
        <f t="shared" si="17"/>
        <v>0</v>
      </c>
    </row>
    <row r="125" spans="1:8">
      <c r="A125" s="63" t="s">
        <v>874</v>
      </c>
      <c r="B125" s="64">
        <f>(B$62*50%)*0.7*2</f>
        <v>0</v>
      </c>
      <c r="C125" s="64">
        <f>(C$62*50%)*0.7</f>
        <v>0</v>
      </c>
      <c r="D125" s="64">
        <f t="shared" si="17"/>
        <v>0</v>
      </c>
      <c r="E125" s="64">
        <f t="shared" si="17"/>
        <v>0</v>
      </c>
      <c r="F125" s="64">
        <f t="shared" si="17"/>
        <v>0</v>
      </c>
      <c r="G125" s="64">
        <f t="shared" si="17"/>
        <v>0</v>
      </c>
      <c r="H125" s="64">
        <f t="shared" si="17"/>
        <v>0</v>
      </c>
    </row>
    <row r="126" spans="1:8">
      <c r="A126" s="63" t="s">
        <v>875</v>
      </c>
      <c r="B126" s="64">
        <f>(B$62*0.3)*0.2</f>
        <v>0</v>
      </c>
      <c r="C126" s="64">
        <f>(C$62*50%)*0.7</f>
        <v>0</v>
      </c>
      <c r="D126" s="64">
        <f t="shared" si="17"/>
        <v>0</v>
      </c>
      <c r="E126" s="64">
        <f t="shared" si="17"/>
        <v>0</v>
      </c>
      <c r="F126" s="64">
        <f t="shared" si="17"/>
        <v>0</v>
      </c>
      <c r="G126" s="64">
        <f t="shared" si="17"/>
        <v>0</v>
      </c>
      <c r="H126" s="64">
        <f t="shared" si="17"/>
        <v>0</v>
      </c>
    </row>
    <row r="127" spans="1:8">
      <c r="A127" s="63" t="str">
        <f t="shared" ref="A127" si="18">A63</f>
        <v>Custard Apple</v>
      </c>
      <c r="B127" s="64"/>
      <c r="C127" s="64"/>
      <c r="D127" s="64"/>
      <c r="E127" s="64"/>
      <c r="F127" s="64"/>
      <c r="G127" s="64"/>
      <c r="H127" s="64"/>
    </row>
    <row r="128" spans="1:8">
      <c r="A128" s="63"/>
      <c r="B128" s="64"/>
      <c r="C128" s="64"/>
      <c r="D128" s="64"/>
      <c r="E128" s="64"/>
      <c r="F128" s="64"/>
      <c r="G128" s="64"/>
      <c r="H128" s="64"/>
    </row>
    <row r="129" spans="1:8">
      <c r="A129" s="63"/>
      <c r="B129" s="64"/>
      <c r="C129" s="64"/>
      <c r="D129" s="64"/>
      <c r="E129" s="64"/>
      <c r="F129" s="64"/>
      <c r="G129" s="64"/>
      <c r="H129" s="64"/>
    </row>
    <row r="130" spans="1:8">
      <c r="A130" s="63"/>
      <c r="B130" s="64"/>
      <c r="C130" s="64"/>
      <c r="D130" s="64"/>
      <c r="E130" s="64"/>
      <c r="F130" s="64"/>
      <c r="G130" s="64"/>
      <c r="H130" s="64"/>
    </row>
    <row r="131" spans="1:8">
      <c r="A131" s="63" t="str">
        <f>A64</f>
        <v>Guava</v>
      </c>
      <c r="B131" s="64"/>
      <c r="C131" s="64"/>
      <c r="D131" s="64"/>
      <c r="E131" s="64"/>
      <c r="F131" s="64"/>
      <c r="G131" s="64"/>
      <c r="H131" s="64"/>
    </row>
    <row r="132" spans="1:8">
      <c r="A132" s="63"/>
      <c r="B132" s="64"/>
      <c r="C132" s="64"/>
      <c r="D132" s="64"/>
      <c r="E132" s="64"/>
      <c r="F132" s="64"/>
      <c r="G132" s="64"/>
      <c r="H132" s="64"/>
    </row>
    <row r="133" spans="1:8">
      <c r="A133" s="63"/>
      <c r="B133" s="64"/>
      <c r="C133" s="64"/>
      <c r="D133" s="64"/>
      <c r="E133" s="64"/>
      <c r="F133" s="64"/>
      <c r="G133" s="64"/>
      <c r="H133" s="64"/>
    </row>
    <row r="134" spans="1:8">
      <c r="A134" s="63"/>
      <c r="B134" s="64"/>
      <c r="C134" s="64"/>
      <c r="D134" s="64"/>
      <c r="E134" s="64"/>
      <c r="F134" s="64"/>
      <c r="G134" s="64"/>
      <c r="H134" s="64"/>
    </row>
    <row r="135" spans="1:8">
      <c r="A135" s="63" t="str">
        <f>A65</f>
        <v>Citrus</v>
      </c>
      <c r="B135" s="64"/>
      <c r="C135" s="64"/>
      <c r="D135" s="64"/>
      <c r="E135" s="64"/>
      <c r="F135" s="64"/>
      <c r="G135" s="64"/>
      <c r="H135" s="64"/>
    </row>
    <row r="136" spans="1:8">
      <c r="A136" s="63"/>
      <c r="B136" s="64"/>
      <c r="C136" s="64"/>
      <c r="D136" s="64"/>
      <c r="E136" s="64"/>
      <c r="F136" s="64"/>
      <c r="G136" s="64"/>
      <c r="H136" s="64"/>
    </row>
    <row r="137" spans="1:8">
      <c r="A137" s="63"/>
      <c r="B137" s="64"/>
      <c r="C137" s="64"/>
      <c r="D137" s="64"/>
      <c r="E137" s="64"/>
      <c r="F137" s="64"/>
      <c r="G137" s="64"/>
      <c r="H137" s="64"/>
    </row>
    <row r="138" spans="1:8">
      <c r="A138" s="63"/>
      <c r="B138" s="64"/>
      <c r="C138" s="64"/>
      <c r="D138" s="64"/>
      <c r="E138" s="64"/>
      <c r="F138" s="64"/>
      <c r="G138" s="64"/>
      <c r="H138" s="64"/>
    </row>
    <row r="139" spans="1:8">
      <c r="A139" s="62"/>
      <c r="B139" s="224"/>
      <c r="C139" s="224"/>
      <c r="D139" s="224"/>
      <c r="E139" s="224"/>
      <c r="F139" s="224"/>
      <c r="G139" s="224"/>
      <c r="H139" s="224"/>
    </row>
    <row r="140" spans="1:8">
      <c r="A140" s="62" t="s">
        <v>436</v>
      </c>
    </row>
    <row r="141" spans="1:8">
      <c r="A141" t="s">
        <v>876</v>
      </c>
      <c r="B141" s="20">
        <f t="shared" ref="B141:H143" si="19">(B124*100)</f>
        <v>0</v>
      </c>
      <c r="C141" s="20">
        <f t="shared" si="19"/>
        <v>0</v>
      </c>
      <c r="D141" s="20">
        <f t="shared" si="19"/>
        <v>0</v>
      </c>
      <c r="E141" s="20">
        <f t="shared" si="19"/>
        <v>0</v>
      </c>
      <c r="F141" s="20">
        <f t="shared" si="19"/>
        <v>0</v>
      </c>
      <c r="G141" s="20">
        <f t="shared" si="19"/>
        <v>0</v>
      </c>
      <c r="H141" s="20">
        <f t="shared" si="19"/>
        <v>0</v>
      </c>
    </row>
    <row r="142" spans="1:8">
      <c r="A142" t="s">
        <v>877</v>
      </c>
      <c r="B142" s="20">
        <f t="shared" si="19"/>
        <v>0</v>
      </c>
      <c r="C142" s="20">
        <f t="shared" si="19"/>
        <v>0</v>
      </c>
      <c r="D142" s="20">
        <f t="shared" si="19"/>
        <v>0</v>
      </c>
      <c r="E142" s="20">
        <f t="shared" si="19"/>
        <v>0</v>
      </c>
      <c r="F142" s="20">
        <f t="shared" si="19"/>
        <v>0</v>
      </c>
      <c r="G142" s="20">
        <f t="shared" si="19"/>
        <v>0</v>
      </c>
      <c r="H142" s="20">
        <f t="shared" si="19"/>
        <v>0</v>
      </c>
    </row>
    <row r="143" spans="1:8">
      <c r="A143" t="s">
        <v>878</v>
      </c>
      <c r="B143" s="20">
        <f t="shared" si="19"/>
        <v>0</v>
      </c>
      <c r="C143" s="20">
        <f t="shared" si="19"/>
        <v>0</v>
      </c>
      <c r="D143" s="20">
        <f t="shared" si="19"/>
        <v>0</v>
      </c>
      <c r="E143" s="20">
        <f t="shared" si="19"/>
        <v>0</v>
      </c>
      <c r="F143" s="20">
        <f t="shared" si="19"/>
        <v>0</v>
      </c>
      <c r="G143" s="20">
        <f t="shared" si="19"/>
        <v>0</v>
      </c>
      <c r="H143" s="20">
        <f t="shared" si="19"/>
        <v>0</v>
      </c>
    </row>
    <row r="145" spans="1:10">
      <c r="B145" s="20"/>
      <c r="C145" s="20"/>
    </row>
    <row r="146" spans="1:10">
      <c r="B146" s="20"/>
      <c r="C146" s="20"/>
      <c r="D146" s="20"/>
    </row>
    <row r="147" spans="1:10" ht="18.75">
      <c r="A147" s="602" t="s">
        <v>557</v>
      </c>
      <c r="B147" s="602"/>
      <c r="C147" s="602"/>
      <c r="D147" s="602"/>
      <c r="E147" s="602"/>
      <c r="F147" s="602"/>
      <c r="G147" s="602"/>
      <c r="H147" s="602"/>
      <c r="I147" s="602"/>
      <c r="J147" s="602"/>
    </row>
    <row r="148" spans="1:10">
      <c r="A148" s="12"/>
      <c r="B148" s="12"/>
      <c r="C148" s="12"/>
      <c r="D148" s="12"/>
      <c r="E148" s="12"/>
      <c r="F148" s="12"/>
      <c r="G148" s="12"/>
      <c r="H148" s="12"/>
    </row>
    <row r="149" spans="1:10">
      <c r="A149" s="131"/>
      <c r="B149" s="131"/>
      <c r="C149" s="131"/>
      <c r="D149" s="132">
        <v>1</v>
      </c>
      <c r="E149" s="133">
        <f>(D149*5%)+D149</f>
        <v>1.05</v>
      </c>
      <c r="F149" s="133">
        <f t="shared" ref="F149:J149" si="20">(E149*5%)+E149</f>
        <v>1.1025</v>
      </c>
      <c r="G149" s="133">
        <f t="shared" si="20"/>
        <v>1.1576250000000001</v>
      </c>
      <c r="H149" s="133">
        <f t="shared" si="20"/>
        <v>1.2155062500000002</v>
      </c>
      <c r="I149" s="133">
        <f t="shared" si="20"/>
        <v>1.2762815625000004</v>
      </c>
      <c r="J149" s="133">
        <f t="shared" si="20"/>
        <v>1.3400956406250004</v>
      </c>
    </row>
    <row r="150" spans="1:10">
      <c r="A150" s="62"/>
      <c r="B150" s="62"/>
      <c r="C150" s="62"/>
      <c r="D150" s="62"/>
      <c r="E150" s="62"/>
      <c r="F150" s="62"/>
      <c r="G150" s="62"/>
      <c r="H150" s="62"/>
      <c r="I150" s="62"/>
      <c r="J150" s="62"/>
    </row>
    <row r="151" spans="1:10">
      <c r="A151" s="103" t="s">
        <v>0</v>
      </c>
      <c r="B151" s="103" t="s">
        <v>128</v>
      </c>
      <c r="C151" s="103" t="s">
        <v>148</v>
      </c>
      <c r="D151" s="83" t="s">
        <v>2</v>
      </c>
      <c r="E151" s="83" t="s">
        <v>3</v>
      </c>
      <c r="F151" s="83" t="s">
        <v>4</v>
      </c>
      <c r="G151" s="83" t="s">
        <v>5</v>
      </c>
      <c r="H151" s="83" t="s">
        <v>6</v>
      </c>
      <c r="I151" s="83" t="s">
        <v>164</v>
      </c>
      <c r="J151" s="83" t="s">
        <v>163</v>
      </c>
    </row>
    <row r="152" spans="1:10">
      <c r="A152" s="63"/>
      <c r="B152" s="63"/>
      <c r="C152" s="63"/>
      <c r="D152" s="63"/>
      <c r="E152" s="63"/>
      <c r="F152" s="63"/>
      <c r="G152" s="63"/>
      <c r="H152" s="63"/>
      <c r="I152" s="63"/>
      <c r="J152" s="63"/>
    </row>
    <row r="153" spans="1:10">
      <c r="A153" s="65" t="s">
        <v>124</v>
      </c>
      <c r="B153" s="65"/>
      <c r="C153" s="65"/>
      <c r="D153" s="78"/>
      <c r="E153" s="78"/>
      <c r="F153" s="78"/>
      <c r="G153" s="78"/>
      <c r="H153" s="78"/>
      <c r="I153" s="63"/>
      <c r="J153" s="63"/>
    </row>
    <row r="154" spans="1:10">
      <c r="A154" s="63" t="str">
        <f>A124</f>
        <v>Pomegranate Arils</v>
      </c>
      <c r="B154" s="164" t="s">
        <v>879</v>
      </c>
      <c r="C154" s="164">
        <v>150</v>
      </c>
      <c r="D154" s="64">
        <f>(B141*(1-'[3]5.Closing Stock &amp; W Capital'!$D$18)*$C154*D$149)</f>
        <v>0</v>
      </c>
      <c r="E154" s="64">
        <f>(((C141*(1-'[3]5.Closing Stock &amp; W Capital'!$D$18))+(B141*'[3]5.Closing Stock &amp; W Capital'!$D$18))*$C154*E$149)</f>
        <v>0</v>
      </c>
      <c r="F154" s="64">
        <f>(((D141*(1-'[3]5.Closing Stock &amp; W Capital'!$D$18))+(C141*'[3]5.Closing Stock &amp; W Capital'!$D$18))*$C154*F$149)</f>
        <v>0</v>
      </c>
      <c r="G154" s="64">
        <f>(((E141*(1-'[3]5.Closing Stock &amp; W Capital'!$D$18))+(D141*'[3]5.Closing Stock &amp; W Capital'!$D$18))*$C154*G$149)</f>
        <v>0</v>
      </c>
      <c r="H154" s="64">
        <f>(((F141*(1-'[3]5.Closing Stock &amp; W Capital'!$D$18))+(E141*'[3]5.Closing Stock &amp; W Capital'!$D$18))*$C154*H$149)</f>
        <v>0</v>
      </c>
      <c r="I154" s="64">
        <f>(((G141*(1-'[3]5.Closing Stock &amp; W Capital'!$D$18))+(F141*'[3]5.Closing Stock &amp; W Capital'!$D$18))*$C154*I$149)</f>
        <v>0</v>
      </c>
      <c r="J154" s="64">
        <f>(((H141*(1-'[3]5.Closing Stock &amp; W Capital'!$D$18))+(G141*'[3]5.Closing Stock &amp; W Capital'!$D$18))*$C154*J$149)</f>
        <v>0</v>
      </c>
    </row>
    <row r="155" spans="1:10">
      <c r="A155" s="63" t="str">
        <f>A125</f>
        <v>Pomegranate Juice</v>
      </c>
      <c r="B155" s="164" t="s">
        <v>880</v>
      </c>
      <c r="C155" s="164">
        <v>40</v>
      </c>
      <c r="D155" s="64">
        <f>(B142*(1-'[3]5.Closing Stock &amp; W Capital'!$D$18)*$C155*D$149)</f>
        <v>0</v>
      </c>
      <c r="E155" s="64">
        <f>(((C142*(1-'[3]5.Closing Stock &amp; W Capital'!$D$18))+(B142*'[3]5.Closing Stock &amp; W Capital'!$D$18))*$C155*E$149)</f>
        <v>0</v>
      </c>
      <c r="F155" s="64">
        <f>(((D142*(1-'[3]5.Closing Stock &amp; W Capital'!$D$18))+(C142*'[3]5.Closing Stock &amp; W Capital'!$D$18))*$C155*F$149)</f>
        <v>0</v>
      </c>
      <c r="G155" s="64">
        <f>(((E142*(1-'[3]5.Closing Stock &amp; W Capital'!$D$18))+(D142*'[3]5.Closing Stock &amp; W Capital'!$D$18))*$C155*G$149)</f>
        <v>0</v>
      </c>
      <c r="H155" s="64">
        <f>(((F142*(1-'[3]5.Closing Stock &amp; W Capital'!$D$18))+(E142*'[3]5.Closing Stock &amp; W Capital'!$D$18))*$C155*H$149)</f>
        <v>0</v>
      </c>
      <c r="I155" s="64">
        <f>(((G142*(1-'[3]5.Closing Stock &amp; W Capital'!$D$18))+(F142*'[3]5.Closing Stock &amp; W Capital'!$D$18))*$C155*I$149)</f>
        <v>0</v>
      </c>
      <c r="J155" s="64">
        <f>(((H142*(1-'[3]5.Closing Stock &amp; W Capital'!$D$18))+(G142*'[3]5.Closing Stock &amp; W Capital'!$D$18))*$C155*J$149)</f>
        <v>0</v>
      </c>
    </row>
    <row r="156" spans="1:10">
      <c r="A156" s="63" t="str">
        <f>A126</f>
        <v>Pomegranate Powder</v>
      </c>
      <c r="B156" s="164" t="s">
        <v>349</v>
      </c>
      <c r="C156" s="164">
        <v>50</v>
      </c>
      <c r="D156" s="64">
        <f>(B143*(1-'[3]5.Closing Stock &amp; W Capital'!$D$18)*$C156*D$149)</f>
        <v>0</v>
      </c>
      <c r="E156" s="64">
        <f>(((C143*(1-'[3]5.Closing Stock &amp; W Capital'!$D$18))+(B143*'[3]5.Closing Stock &amp; W Capital'!$D$18))*$C156*E$149)</f>
        <v>0</v>
      </c>
      <c r="F156" s="64">
        <f>(((D143*(1-'[3]5.Closing Stock &amp; W Capital'!$D$18))+(C143*'[3]5.Closing Stock &amp; W Capital'!$D$18))*$C156*F$149)</f>
        <v>0</v>
      </c>
      <c r="G156" s="64">
        <f>(((E143*(1-'[3]5.Closing Stock &amp; W Capital'!$D$18))+(D143*'[3]5.Closing Stock &amp; W Capital'!$D$18))*$C156*G$149)</f>
        <v>0</v>
      </c>
      <c r="H156" s="64">
        <f>(((F143*(1-'[3]5.Closing Stock &amp; W Capital'!$D$18))+(E143*'[3]5.Closing Stock &amp; W Capital'!$D$18))*$C156*H$149)</f>
        <v>0</v>
      </c>
      <c r="I156" s="64">
        <f>(((G143*(1-'[3]5.Closing Stock &amp; W Capital'!$D$18))+(F143*'[3]5.Closing Stock &amp; W Capital'!$D$18))*$C156*I$149)</f>
        <v>0</v>
      </c>
      <c r="J156" s="64">
        <f>(((H143*(1-'[3]5.Closing Stock &amp; W Capital'!$D$18))+(G143*'[3]5.Closing Stock &amp; W Capital'!$D$18))*$C156*J$149)</f>
        <v>0</v>
      </c>
    </row>
    <row r="157" spans="1:10">
      <c r="A157" s="63"/>
      <c r="B157" s="164"/>
      <c r="C157" s="164"/>
      <c r="D157" s="64"/>
      <c r="E157" s="64"/>
      <c r="F157" s="64"/>
      <c r="G157" s="64"/>
      <c r="H157" s="64"/>
      <c r="I157" s="64"/>
      <c r="J157" s="64"/>
    </row>
    <row r="158" spans="1:10">
      <c r="A158" s="63"/>
      <c r="B158" s="63"/>
      <c r="C158" s="63"/>
      <c r="D158" s="64"/>
      <c r="E158" s="64"/>
      <c r="F158" s="64"/>
      <c r="G158" s="64"/>
      <c r="H158" s="64"/>
      <c r="I158" s="64"/>
      <c r="J158" s="64"/>
    </row>
    <row r="159" spans="1:10">
      <c r="A159" s="65" t="s">
        <v>124</v>
      </c>
      <c r="B159" s="65"/>
      <c r="C159" s="65"/>
      <c r="D159" s="79">
        <f t="shared" ref="D159:J159" si="21">SUM(D154:D157)</f>
        <v>0</v>
      </c>
      <c r="E159" s="79">
        <f t="shared" si="21"/>
        <v>0</v>
      </c>
      <c r="F159" s="79">
        <f t="shared" si="21"/>
        <v>0</v>
      </c>
      <c r="G159" s="79">
        <f t="shared" si="21"/>
        <v>0</v>
      </c>
      <c r="H159" s="79">
        <f t="shared" si="21"/>
        <v>0</v>
      </c>
      <c r="I159" s="79">
        <f t="shared" si="21"/>
        <v>0</v>
      </c>
      <c r="J159" s="79">
        <f t="shared" si="21"/>
        <v>0</v>
      </c>
    </row>
    <row r="160" spans="1:10">
      <c r="A160" s="63"/>
      <c r="B160" s="63"/>
      <c r="C160" s="63"/>
      <c r="D160" s="64"/>
      <c r="E160" s="64"/>
      <c r="F160" s="64"/>
      <c r="G160" s="64"/>
      <c r="H160" s="64"/>
      <c r="I160" s="64"/>
      <c r="J160" s="64"/>
    </row>
    <row r="161" spans="1:10">
      <c r="A161" s="65" t="s">
        <v>137</v>
      </c>
      <c r="B161" s="65"/>
      <c r="C161" s="65"/>
      <c r="D161" s="64"/>
      <c r="E161" s="64"/>
      <c r="F161" s="64"/>
      <c r="G161" s="64"/>
      <c r="H161" s="64"/>
      <c r="I161" s="64"/>
      <c r="J161" s="64"/>
    </row>
    <row r="162" spans="1:10">
      <c r="A162" s="65" t="s">
        <v>302</v>
      </c>
      <c r="B162" s="65"/>
      <c r="C162" s="63"/>
      <c r="D162" s="64"/>
      <c r="E162" s="64"/>
      <c r="F162" s="64"/>
      <c r="G162" s="64"/>
      <c r="H162" s="64"/>
      <c r="I162" s="64"/>
      <c r="J162" s="64"/>
    </row>
    <row r="163" spans="1:10">
      <c r="A163" s="63" t="s">
        <v>881</v>
      </c>
      <c r="B163" s="164" t="s">
        <v>350</v>
      </c>
      <c r="C163" s="187">
        <v>6000</v>
      </c>
      <c r="D163" s="64">
        <f>B62*$C163*D$149</f>
        <v>0</v>
      </c>
      <c r="E163" s="64">
        <f>C62*$C163*E$149</f>
        <v>0</v>
      </c>
      <c r="F163" s="64">
        <f t="shared" ref="F163:J163" si="22">D62*$C163*F$149</f>
        <v>0</v>
      </c>
      <c r="G163" s="64">
        <f t="shared" si="22"/>
        <v>0</v>
      </c>
      <c r="H163" s="64">
        <f t="shared" si="22"/>
        <v>0</v>
      </c>
      <c r="I163" s="64">
        <f t="shared" si="22"/>
        <v>0</v>
      </c>
      <c r="J163" s="64">
        <f t="shared" si="22"/>
        <v>0</v>
      </c>
    </row>
    <row r="164" spans="1:10">
      <c r="A164" s="63" t="s">
        <v>882</v>
      </c>
      <c r="B164" s="164" t="s">
        <v>350</v>
      </c>
      <c r="C164" s="164">
        <v>2000</v>
      </c>
      <c r="D164" s="64">
        <f>(B62*10%)*$C164*D$149</f>
        <v>0</v>
      </c>
      <c r="E164" s="64">
        <f t="shared" ref="E164:J164" si="23">(C62*10%)*$C164*E$149</f>
        <v>0</v>
      </c>
      <c r="F164" s="64">
        <f t="shared" si="23"/>
        <v>0</v>
      </c>
      <c r="G164" s="64">
        <f t="shared" si="23"/>
        <v>0</v>
      </c>
      <c r="H164" s="64">
        <f t="shared" si="23"/>
        <v>0</v>
      </c>
      <c r="I164" s="64">
        <f t="shared" si="23"/>
        <v>0</v>
      </c>
      <c r="J164" s="64">
        <f t="shared" si="23"/>
        <v>0</v>
      </c>
    </row>
    <row r="165" spans="1:10">
      <c r="A165" s="63" t="s">
        <v>308</v>
      </c>
      <c r="B165" s="164">
        <v>5</v>
      </c>
      <c r="C165" s="164">
        <v>300</v>
      </c>
      <c r="D165" s="64">
        <f t="shared" ref="D165:J165" si="24">B12*$B$165*$C$165*D149</f>
        <v>0</v>
      </c>
      <c r="E165" s="64">
        <f t="shared" si="24"/>
        <v>0</v>
      </c>
      <c r="F165" s="64">
        <f t="shared" si="24"/>
        <v>0</v>
      </c>
      <c r="G165" s="64">
        <f t="shared" si="24"/>
        <v>0</v>
      </c>
      <c r="H165" s="64">
        <f t="shared" si="24"/>
        <v>0</v>
      </c>
      <c r="I165" s="64">
        <f t="shared" si="24"/>
        <v>0</v>
      </c>
      <c r="J165" s="64">
        <f t="shared" si="24"/>
        <v>0</v>
      </c>
    </row>
    <row r="166" spans="1:10">
      <c r="A166" s="63" t="s">
        <v>139</v>
      </c>
      <c r="B166" s="63">
        <f>'[3]2.Capex Details'!H61*0.746*8</f>
        <v>0</v>
      </c>
      <c r="C166" s="164">
        <v>8</v>
      </c>
      <c r="D166" s="64">
        <f t="shared" ref="D166:J166" si="25">$B$166*$C$166*B12*D149</f>
        <v>0</v>
      </c>
      <c r="E166" s="64">
        <f t="shared" si="25"/>
        <v>0</v>
      </c>
      <c r="F166" s="64">
        <f t="shared" si="25"/>
        <v>0</v>
      </c>
      <c r="G166" s="64">
        <f t="shared" si="25"/>
        <v>0</v>
      </c>
      <c r="H166" s="64">
        <f t="shared" si="25"/>
        <v>0</v>
      </c>
      <c r="I166" s="64">
        <f t="shared" si="25"/>
        <v>0</v>
      </c>
      <c r="J166" s="64">
        <f t="shared" si="25"/>
        <v>0</v>
      </c>
    </row>
    <row r="167" spans="1:10">
      <c r="A167" s="63" t="s">
        <v>285</v>
      </c>
      <c r="B167" s="63" t="s">
        <v>350</v>
      </c>
      <c r="C167" s="164">
        <v>10</v>
      </c>
      <c r="D167" s="64">
        <f>B62*$C167*D$149</f>
        <v>0</v>
      </c>
      <c r="E167" s="64">
        <f t="shared" ref="E167:J167" si="26">C62*$C167*E$149</f>
        <v>0</v>
      </c>
      <c r="F167" s="64">
        <f t="shared" si="26"/>
        <v>0</v>
      </c>
      <c r="G167" s="64">
        <f t="shared" si="26"/>
        <v>0</v>
      </c>
      <c r="H167" s="64">
        <f t="shared" si="26"/>
        <v>0</v>
      </c>
      <c r="I167" s="64">
        <f t="shared" si="26"/>
        <v>0</v>
      </c>
      <c r="J167" s="64">
        <f t="shared" si="26"/>
        <v>0</v>
      </c>
    </row>
    <row r="168" spans="1:10">
      <c r="A168" s="73" t="s">
        <v>286</v>
      </c>
      <c r="B168" s="73"/>
      <c r="C168" s="189">
        <v>2</v>
      </c>
      <c r="D168" s="64">
        <f>SUM(B141:B143)*$C$168*D$149</f>
        <v>0</v>
      </c>
      <c r="E168" s="64">
        <f t="shared" ref="E168:J168" si="27">SUM(C141:C143)*$C$168*E$149</f>
        <v>0</v>
      </c>
      <c r="F168" s="64">
        <f t="shared" si="27"/>
        <v>0</v>
      </c>
      <c r="G168" s="64">
        <f t="shared" si="27"/>
        <v>0</v>
      </c>
      <c r="H168" s="64">
        <f t="shared" si="27"/>
        <v>0</v>
      </c>
      <c r="I168" s="64">
        <f t="shared" si="27"/>
        <v>0</v>
      </c>
      <c r="J168" s="64">
        <f t="shared" si="27"/>
        <v>0</v>
      </c>
    </row>
    <row r="169" spans="1:10">
      <c r="A169" s="63" t="s">
        <v>287</v>
      </c>
      <c r="B169" s="63"/>
      <c r="C169" s="164">
        <v>1</v>
      </c>
      <c r="D169" s="64">
        <f>SUM(B141:B143)*$C$169*D$149</f>
        <v>0</v>
      </c>
      <c r="E169" s="64">
        <f t="shared" ref="E169:J169" si="28">SUM(C141:C143)*$C$169*E$149</f>
        <v>0</v>
      </c>
      <c r="F169" s="64">
        <f t="shared" si="28"/>
        <v>0</v>
      </c>
      <c r="G169" s="64">
        <f t="shared" si="28"/>
        <v>0</v>
      </c>
      <c r="H169" s="64">
        <f t="shared" si="28"/>
        <v>0</v>
      </c>
      <c r="I169" s="64">
        <f t="shared" si="28"/>
        <v>0</v>
      </c>
      <c r="J169" s="64">
        <f t="shared" si="28"/>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34" t="s">
        <v>330</v>
      </c>
      <c r="B174" s="64"/>
      <c r="C174" s="64"/>
      <c r="D174" s="64"/>
      <c r="E174" s="64">
        <f>'[3]5.Closing Stock &amp; W Capital'!F8</f>
        <v>0</v>
      </c>
      <c r="F174" s="64">
        <f>'[3]5.Closing Stock &amp; W Capital'!G8</f>
        <v>0</v>
      </c>
      <c r="G174" s="64">
        <f>'[3]5.Closing Stock &amp; W Capital'!H8</f>
        <v>0</v>
      </c>
      <c r="H174" s="64">
        <f>'[3]5.Closing Stock &amp; W Capital'!I8</f>
        <v>0</v>
      </c>
      <c r="I174" s="64">
        <f>'[3]5.Closing Stock &amp; W Capital'!J8</f>
        <v>0</v>
      </c>
      <c r="J174" s="64">
        <f>'[3]5.Closing Stock &amp; W Capital'!K8</f>
        <v>0</v>
      </c>
    </row>
    <row r="175" spans="1:10">
      <c r="A175" s="134" t="s">
        <v>331</v>
      </c>
      <c r="B175" s="64"/>
      <c r="C175" s="64"/>
      <c r="D175" s="64">
        <f>'[3]5.Closing Stock &amp; W Capital'!E17</f>
        <v>0</v>
      </c>
      <c r="E175" s="64">
        <f>'[3]5.Closing Stock &amp; W Capital'!F17</f>
        <v>0</v>
      </c>
      <c r="F175" s="64">
        <f>'[3]5.Closing Stock &amp; W Capital'!G17</f>
        <v>0</v>
      </c>
      <c r="G175" s="64">
        <f>'[3]5.Closing Stock &amp; W Capital'!H17</f>
        <v>0</v>
      </c>
      <c r="H175" s="64">
        <f>'[3]5.Closing Stock &amp; W Capital'!I17</f>
        <v>0</v>
      </c>
      <c r="I175" s="64">
        <f>'[3]5.Closing Stock &amp; W Capital'!J17</f>
        <v>0</v>
      </c>
      <c r="J175" s="64">
        <f>'[3]5.Closing Stock &amp; W Capital'!K17</f>
        <v>0</v>
      </c>
    </row>
    <row r="176" spans="1:10">
      <c r="A176" s="64"/>
      <c r="B176" s="64"/>
      <c r="C176" s="64"/>
      <c r="D176" s="64"/>
      <c r="E176" s="64"/>
      <c r="F176" s="64"/>
      <c r="G176" s="64"/>
      <c r="H176" s="64"/>
      <c r="I176" s="64"/>
      <c r="J176" s="64"/>
    </row>
    <row r="177" spans="1:10">
      <c r="A177" s="79" t="s">
        <v>309</v>
      </c>
      <c r="B177" s="64"/>
      <c r="C177" s="64"/>
      <c r="D177" s="79">
        <f t="shared" ref="D177:J177" si="29">SUM(D163:D174)-D175</f>
        <v>0</v>
      </c>
      <c r="E177" s="79">
        <f t="shared" si="29"/>
        <v>0</v>
      </c>
      <c r="F177" s="79">
        <f t="shared" si="29"/>
        <v>0</v>
      </c>
      <c r="G177" s="79">
        <f t="shared" si="29"/>
        <v>0</v>
      </c>
      <c r="H177" s="79">
        <f t="shared" si="29"/>
        <v>0</v>
      </c>
      <c r="I177" s="79">
        <f t="shared" si="29"/>
        <v>0</v>
      </c>
      <c r="J177" s="79">
        <f t="shared" si="29"/>
        <v>0</v>
      </c>
    </row>
    <row r="178" spans="1:10">
      <c r="A178" s="62"/>
      <c r="B178" s="62"/>
      <c r="C178" s="62"/>
      <c r="D178" s="62"/>
      <c r="E178" s="62"/>
      <c r="F178" s="62"/>
      <c r="G178" s="62"/>
      <c r="H178" s="62"/>
      <c r="I178" s="62"/>
      <c r="J178" s="62"/>
    </row>
    <row r="179" spans="1:10">
      <c r="A179" s="135" t="s">
        <v>300</v>
      </c>
      <c r="B179" s="135"/>
      <c r="C179" s="135"/>
      <c r="D179" s="79"/>
      <c r="E179" s="79"/>
      <c r="F179" s="79"/>
      <c r="G179" s="79"/>
      <c r="H179" s="79"/>
      <c r="I179" s="79"/>
      <c r="J179" s="79"/>
    </row>
    <row r="180" spans="1:10">
      <c r="A180" s="63" t="s">
        <v>183</v>
      </c>
      <c r="B180" s="164">
        <v>1</v>
      </c>
      <c r="C180" s="187"/>
      <c r="D180" s="64">
        <f t="shared" ref="D180:J180" si="30">$B$180*$C$180*12*D149</f>
        <v>0</v>
      </c>
      <c r="E180" s="64">
        <f t="shared" si="30"/>
        <v>0</v>
      </c>
      <c r="F180" s="64">
        <f t="shared" si="30"/>
        <v>0</v>
      </c>
      <c r="G180" s="64">
        <f t="shared" si="30"/>
        <v>0</v>
      </c>
      <c r="H180" s="64">
        <f t="shared" si="30"/>
        <v>0</v>
      </c>
      <c r="I180" s="64">
        <f t="shared" si="30"/>
        <v>0</v>
      </c>
      <c r="J180" s="64">
        <f t="shared" si="30"/>
        <v>0</v>
      </c>
    </row>
    <row r="181" spans="1:10">
      <c r="A181" s="63" t="s">
        <v>185</v>
      </c>
      <c r="B181" s="164">
        <v>2</v>
      </c>
      <c r="C181" s="187"/>
      <c r="D181" s="64">
        <f t="shared" ref="D181:J181" si="31">$B$181*$C$181*12*D149</f>
        <v>0</v>
      </c>
      <c r="E181" s="64">
        <f t="shared" si="31"/>
        <v>0</v>
      </c>
      <c r="F181" s="64">
        <f t="shared" si="31"/>
        <v>0</v>
      </c>
      <c r="G181" s="64">
        <f t="shared" si="31"/>
        <v>0</v>
      </c>
      <c r="H181" s="64">
        <f t="shared" si="31"/>
        <v>0</v>
      </c>
      <c r="I181" s="64">
        <f t="shared" si="31"/>
        <v>0</v>
      </c>
      <c r="J181" s="64">
        <f t="shared" si="31"/>
        <v>0</v>
      </c>
    </row>
    <row r="182" spans="1:10">
      <c r="A182" s="63"/>
      <c r="B182" s="164"/>
      <c r="C182" s="187"/>
      <c r="D182" s="64"/>
      <c r="E182" s="64"/>
      <c r="F182" s="64"/>
      <c r="G182" s="64"/>
      <c r="H182" s="64"/>
      <c r="I182" s="64"/>
      <c r="J182" s="64"/>
    </row>
    <row r="183" spans="1:10">
      <c r="A183" s="63"/>
      <c r="B183" s="164"/>
      <c r="C183" s="187"/>
      <c r="D183" s="64"/>
      <c r="E183" s="64"/>
      <c r="F183" s="64"/>
      <c r="G183" s="64"/>
      <c r="H183" s="64"/>
      <c r="I183" s="64"/>
      <c r="J183" s="64"/>
    </row>
    <row r="184" spans="1:10">
      <c r="A184" s="63"/>
      <c r="B184" s="164"/>
      <c r="C184" s="187"/>
      <c r="D184" s="64"/>
      <c r="E184" s="64"/>
      <c r="F184" s="64"/>
      <c r="G184" s="64"/>
      <c r="H184" s="64"/>
      <c r="I184" s="64"/>
      <c r="J184" s="64"/>
    </row>
    <row r="185" spans="1:10">
      <c r="A185" s="65" t="s">
        <v>300</v>
      </c>
      <c r="B185" s="65"/>
      <c r="C185" s="65"/>
      <c r="D185" s="79">
        <f>SUM(D180:D184)</f>
        <v>0</v>
      </c>
      <c r="E185" s="79">
        <f t="shared" ref="E185:J185" si="32">SUM(E180:E184)</f>
        <v>0</v>
      </c>
      <c r="F185" s="79">
        <f t="shared" si="32"/>
        <v>0</v>
      </c>
      <c r="G185" s="79">
        <f t="shared" si="32"/>
        <v>0</v>
      </c>
      <c r="H185" s="79">
        <f t="shared" si="32"/>
        <v>0</v>
      </c>
      <c r="I185" s="79">
        <f t="shared" si="32"/>
        <v>0</v>
      </c>
      <c r="J185" s="79">
        <f t="shared" si="32"/>
        <v>0</v>
      </c>
    </row>
    <row r="186" spans="1:10">
      <c r="A186" s="135" t="s">
        <v>288</v>
      </c>
      <c r="B186" s="135"/>
      <c r="C186" s="135"/>
      <c r="D186" s="79">
        <f>D177+D185</f>
        <v>0</v>
      </c>
      <c r="E186" s="79">
        <f t="shared" ref="E186:J186" si="33">E177+E185</f>
        <v>0</v>
      </c>
      <c r="F186" s="79">
        <f t="shared" si="33"/>
        <v>0</v>
      </c>
      <c r="G186" s="79">
        <f t="shared" si="33"/>
        <v>0</v>
      </c>
      <c r="H186" s="79">
        <f t="shared" si="33"/>
        <v>0</v>
      </c>
      <c r="I186" s="79">
        <f t="shared" si="33"/>
        <v>0</v>
      </c>
      <c r="J186" s="79">
        <f t="shared" si="33"/>
        <v>0</v>
      </c>
    </row>
    <row r="187" spans="1:10">
      <c r="A187" s="63"/>
      <c r="B187" s="63"/>
      <c r="C187" s="63"/>
      <c r="D187" s="64"/>
      <c r="E187" s="64"/>
      <c r="F187" s="64"/>
      <c r="G187" s="64"/>
      <c r="H187" s="64"/>
      <c r="I187" s="64"/>
      <c r="J187" s="64"/>
    </row>
    <row r="188" spans="1:10">
      <c r="A188" s="65" t="s">
        <v>7</v>
      </c>
      <c r="B188" s="65"/>
      <c r="C188" s="65"/>
      <c r="D188" s="79">
        <f t="shared" ref="D188:J188" si="34">D159-D186</f>
        <v>0</v>
      </c>
      <c r="E188" s="79">
        <f t="shared" si="34"/>
        <v>0</v>
      </c>
      <c r="F188" s="79">
        <f t="shared" si="34"/>
        <v>0</v>
      </c>
      <c r="G188" s="79">
        <f t="shared" si="34"/>
        <v>0</v>
      </c>
      <c r="H188" s="79">
        <f t="shared" si="34"/>
        <v>0</v>
      </c>
      <c r="I188" s="79">
        <f t="shared" si="34"/>
        <v>0</v>
      </c>
      <c r="J188" s="79">
        <f t="shared" si="34"/>
        <v>0</v>
      </c>
    </row>
    <row r="189" spans="1:10">
      <c r="A189" s="80"/>
      <c r="B189" s="80"/>
      <c r="C189" s="80"/>
      <c r="D189" s="62"/>
      <c r="E189" s="62"/>
      <c r="F189" s="62"/>
      <c r="G189" s="62"/>
      <c r="H189" s="62"/>
      <c r="I189" s="62"/>
      <c r="J189" s="62"/>
    </row>
    <row r="190" spans="1:10">
      <c r="A190" s="62"/>
      <c r="B190" s="62"/>
      <c r="C190" s="62"/>
      <c r="D190" s="62"/>
      <c r="E190" s="62"/>
      <c r="F190" s="62"/>
      <c r="G190" s="62"/>
      <c r="H190" s="62"/>
      <c r="I190" s="62"/>
      <c r="J190" s="62"/>
    </row>
    <row r="191" spans="1:10">
      <c r="A191" s="62"/>
      <c r="B191" s="62"/>
      <c r="C191" s="62"/>
      <c r="D191" s="62"/>
      <c r="E191" s="62"/>
      <c r="F191" s="62"/>
      <c r="G191" s="62"/>
      <c r="H191" s="62"/>
      <c r="I191" s="62"/>
      <c r="J191" s="62"/>
    </row>
    <row r="192" spans="1:10">
      <c r="A192" s="604" t="s">
        <v>407</v>
      </c>
      <c r="B192" s="604"/>
      <c r="C192" s="604"/>
      <c r="D192" s="604"/>
      <c r="E192" s="604"/>
      <c r="F192" s="604"/>
      <c r="G192" s="604"/>
      <c r="H192" s="604"/>
      <c r="I192" s="604"/>
      <c r="J192" s="604"/>
    </row>
    <row r="194" spans="1:5">
      <c r="A194" t="s">
        <v>500</v>
      </c>
    </row>
    <row r="195" spans="1:5">
      <c r="A195">
        <v>1</v>
      </c>
      <c r="B195" t="s">
        <v>510</v>
      </c>
    </row>
    <row r="196" spans="1:5">
      <c r="A196">
        <v>2</v>
      </c>
      <c r="B196" t="s">
        <v>511</v>
      </c>
      <c r="C196" s="43"/>
      <c r="D196" s="43"/>
      <c r="E196" s="43"/>
    </row>
    <row r="197" spans="1:5">
      <c r="A197">
        <v>3</v>
      </c>
      <c r="B197" s="62" t="s">
        <v>560</v>
      </c>
    </row>
  </sheetData>
  <mergeCells count="4">
    <mergeCell ref="A192:J192"/>
    <mergeCell ref="A3:H3"/>
    <mergeCell ref="A4:H4"/>
    <mergeCell ref="A147:J147"/>
  </mergeCells>
  <pageMargins left="0.7" right="0.7" top="0.75" bottom="0.75" header="0.3" footer="0.3"/>
  <pageSetup paperSize="9" scale="53" orientation="portrait" r:id="rId1"/>
  <rowBreaks count="2" manualBreakCount="2">
    <brk id="63" max="7" man="1"/>
    <brk id="123" max="7" man="1"/>
  </rowBreaks>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6"/>
  <sheetViews>
    <sheetView view="pageBreakPreview" zoomScale="40" zoomScaleSheetLayoutView="40" workbookViewId="0">
      <selection activeCell="P84" sqref="P84"/>
    </sheetView>
  </sheetViews>
  <sheetFormatPr defaultRowHeight="15"/>
  <cols>
    <col min="1" max="1" width="30.42578125" bestFit="1" customWidth="1"/>
    <col min="2" max="2" width="9.85546875" customWidth="1"/>
    <col min="3" max="3" width="11.140625" customWidth="1"/>
    <col min="4" max="10" width="9.5703125" bestFit="1" customWidth="1"/>
  </cols>
  <sheetData>
    <row r="2" spans="1:10" ht="18.75">
      <c r="A2" s="602" t="s">
        <v>547</v>
      </c>
      <c r="B2" s="602"/>
      <c r="C2" s="602"/>
      <c r="D2" s="602"/>
      <c r="E2" s="602"/>
      <c r="F2" s="602"/>
      <c r="G2" s="602"/>
      <c r="H2" s="602"/>
    </row>
    <row r="3" spans="1:10" ht="18.75">
      <c r="A3" s="602" t="s">
        <v>548</v>
      </c>
      <c r="B3" s="602"/>
      <c r="C3" s="602"/>
      <c r="D3" s="602"/>
      <c r="E3" s="602"/>
      <c r="F3" s="602"/>
      <c r="G3" s="602"/>
      <c r="H3" s="602"/>
    </row>
    <row r="4" spans="1:10">
      <c r="A4" s="62" t="s">
        <v>156</v>
      </c>
      <c r="B4" s="192"/>
      <c r="C4" s="126" t="s">
        <v>289</v>
      </c>
      <c r="D4" s="126"/>
      <c r="E4" s="126"/>
      <c r="F4" s="126"/>
      <c r="G4" s="62"/>
      <c r="H4" s="62"/>
    </row>
    <row r="5" spans="1:10">
      <c r="A5" s="62"/>
      <c r="B5" s="127"/>
      <c r="C5" s="62"/>
      <c r="D5" s="62"/>
      <c r="E5" s="62"/>
      <c r="F5" s="62"/>
      <c r="G5" s="62"/>
      <c r="H5" s="62"/>
    </row>
    <row r="6" spans="1:10">
      <c r="A6" s="62" t="s">
        <v>291</v>
      </c>
      <c r="B6" s="128">
        <v>12</v>
      </c>
      <c r="C6" s="62"/>
      <c r="D6" s="128"/>
      <c r="E6" s="128"/>
      <c r="F6" s="62"/>
      <c r="G6" s="62"/>
      <c r="H6" s="62"/>
    </row>
    <row r="7" spans="1:10">
      <c r="A7" s="62"/>
      <c r="B7" s="62"/>
      <c r="C7" s="128"/>
      <c r="D7" s="128"/>
      <c r="E7" s="128"/>
      <c r="F7" s="62"/>
      <c r="G7" s="62"/>
      <c r="H7" s="62"/>
    </row>
    <row r="8" spans="1:10">
      <c r="A8" s="103" t="s">
        <v>125</v>
      </c>
      <c r="B8" s="83" t="s">
        <v>2</v>
      </c>
      <c r="C8" s="83" t="s">
        <v>3</v>
      </c>
      <c r="D8" s="83" t="s">
        <v>4</v>
      </c>
      <c r="E8" s="83" t="s">
        <v>5</v>
      </c>
      <c r="F8" s="83" t="s">
        <v>6</v>
      </c>
      <c r="G8" s="83" t="s">
        <v>164</v>
      </c>
      <c r="H8" s="83" t="s">
        <v>163</v>
      </c>
    </row>
    <row r="9" spans="1:10">
      <c r="A9" s="63" t="s">
        <v>292</v>
      </c>
      <c r="B9" s="205">
        <v>0.8</v>
      </c>
      <c r="C9" s="205">
        <f>B9+5%</f>
        <v>0.85000000000000009</v>
      </c>
      <c r="D9" s="205">
        <f>C9+5%</f>
        <v>0.90000000000000013</v>
      </c>
      <c r="E9" s="205">
        <f>D9+5%</f>
        <v>0.95000000000000018</v>
      </c>
      <c r="F9" s="205">
        <f>E9+5%</f>
        <v>1.0000000000000002</v>
      </c>
      <c r="G9" s="205">
        <f>F9</f>
        <v>1.0000000000000002</v>
      </c>
      <c r="H9" s="205">
        <f>G9</f>
        <v>1.0000000000000002</v>
      </c>
    </row>
    <row r="10" spans="1:10">
      <c r="A10" s="65" t="s">
        <v>310</v>
      </c>
      <c r="B10" s="130">
        <f t="shared" ref="B10:H10" si="0">$B$4*B9*$B$6</f>
        <v>0</v>
      </c>
      <c r="C10" s="130">
        <f t="shared" si="0"/>
        <v>0</v>
      </c>
      <c r="D10" s="130">
        <f t="shared" si="0"/>
        <v>0</v>
      </c>
      <c r="E10" s="130">
        <f t="shared" si="0"/>
        <v>0</v>
      </c>
      <c r="F10" s="130">
        <f t="shared" si="0"/>
        <v>0</v>
      </c>
      <c r="G10" s="130">
        <f t="shared" si="0"/>
        <v>0</v>
      </c>
      <c r="H10" s="130">
        <f t="shared" si="0"/>
        <v>0</v>
      </c>
    </row>
    <row r="15" spans="1:10" ht="18.75">
      <c r="A15" s="602" t="s">
        <v>549</v>
      </c>
      <c r="B15" s="602"/>
      <c r="C15" s="602"/>
      <c r="D15" s="602"/>
      <c r="E15" s="602"/>
      <c r="F15" s="602"/>
      <c r="G15" s="602"/>
      <c r="H15" s="602"/>
      <c r="I15" s="602"/>
      <c r="J15" s="602"/>
    </row>
    <row r="16" spans="1:10">
      <c r="A16" s="12"/>
      <c r="B16" s="12"/>
      <c r="C16" s="12"/>
      <c r="D16" s="12"/>
      <c r="E16" s="12"/>
      <c r="F16" s="12"/>
      <c r="G16" s="12"/>
      <c r="H16" s="12"/>
    </row>
    <row r="17" spans="1:10">
      <c r="A17" s="62"/>
      <c r="B17" s="62"/>
      <c r="C17" s="62"/>
      <c r="D17" s="124">
        <v>1</v>
      </c>
      <c r="E17" s="122">
        <f>(D17*5%)+D17</f>
        <v>1.05</v>
      </c>
      <c r="F17" s="122">
        <f t="shared" ref="F17:J17" si="1">(E17*5%)+E17</f>
        <v>1.1025</v>
      </c>
      <c r="G17" s="122">
        <f t="shared" si="1"/>
        <v>1.1576250000000001</v>
      </c>
      <c r="H17" s="122">
        <f t="shared" si="1"/>
        <v>1.2155062500000002</v>
      </c>
      <c r="I17" s="122">
        <f t="shared" si="1"/>
        <v>1.2762815625000004</v>
      </c>
      <c r="J17" s="122">
        <f t="shared" si="1"/>
        <v>1.3400956406250004</v>
      </c>
    </row>
    <row r="18" spans="1:10">
      <c r="A18" s="103" t="s">
        <v>0</v>
      </c>
      <c r="B18" s="103" t="s">
        <v>128</v>
      </c>
      <c r="C18" s="103" t="s">
        <v>148</v>
      </c>
      <c r="D18" s="83" t="s">
        <v>2</v>
      </c>
      <c r="E18" s="83" t="s">
        <v>3</v>
      </c>
      <c r="F18" s="83" t="s">
        <v>4</v>
      </c>
      <c r="G18" s="83" t="s">
        <v>5</v>
      </c>
      <c r="H18" s="83" t="s">
        <v>6</v>
      </c>
      <c r="I18" s="83" t="s">
        <v>164</v>
      </c>
      <c r="J18" s="83" t="s">
        <v>163</v>
      </c>
    </row>
    <row r="19" spans="1:10">
      <c r="A19" s="63"/>
      <c r="B19" s="63"/>
      <c r="C19" s="63"/>
      <c r="D19" s="63"/>
      <c r="E19" s="63"/>
      <c r="F19" s="63"/>
      <c r="G19" s="63"/>
      <c r="H19" s="63"/>
      <c r="I19" s="63"/>
      <c r="J19" s="63"/>
    </row>
    <row r="20" spans="1:10">
      <c r="A20" s="65" t="s">
        <v>172</v>
      </c>
      <c r="B20" s="65"/>
      <c r="C20" s="65"/>
      <c r="D20" s="63"/>
      <c r="E20" s="63"/>
      <c r="F20" s="63"/>
      <c r="G20" s="63"/>
      <c r="H20" s="63"/>
      <c r="I20" s="63"/>
      <c r="J20" s="63"/>
    </row>
    <row r="21" spans="1:10">
      <c r="A21" s="63" t="s">
        <v>312</v>
      </c>
      <c r="B21" s="63"/>
      <c r="C21" s="187">
        <v>100</v>
      </c>
      <c r="D21" s="64">
        <f t="shared" ref="D21:J21" si="2">B10*$C$21*D17</f>
        <v>0</v>
      </c>
      <c r="E21" s="64">
        <f t="shared" si="2"/>
        <v>0</v>
      </c>
      <c r="F21" s="64">
        <f t="shared" si="2"/>
        <v>0</v>
      </c>
      <c r="G21" s="64">
        <f t="shared" si="2"/>
        <v>0</v>
      </c>
      <c r="H21" s="64">
        <f t="shared" si="2"/>
        <v>0</v>
      </c>
      <c r="I21" s="64">
        <f t="shared" si="2"/>
        <v>0</v>
      </c>
      <c r="J21" s="64">
        <f t="shared" si="2"/>
        <v>0</v>
      </c>
    </row>
    <row r="22" spans="1:10">
      <c r="A22" s="63"/>
      <c r="B22" s="63"/>
      <c r="C22" s="64"/>
      <c r="D22" s="64"/>
      <c r="E22" s="64"/>
      <c r="F22" s="64"/>
      <c r="G22" s="64"/>
      <c r="H22" s="64"/>
      <c r="I22" s="64"/>
      <c r="J22" s="64"/>
    </row>
    <row r="23" spans="1:10">
      <c r="A23" s="65" t="s">
        <v>138</v>
      </c>
      <c r="B23" s="65"/>
      <c r="C23" s="79"/>
      <c r="D23" s="64">
        <f t="shared" ref="D23:J23" si="3">SUM(D21:D21)</f>
        <v>0</v>
      </c>
      <c r="E23" s="64">
        <f t="shared" si="3"/>
        <v>0</v>
      </c>
      <c r="F23" s="64">
        <f t="shared" si="3"/>
        <v>0</v>
      </c>
      <c r="G23" s="64">
        <f t="shared" si="3"/>
        <v>0</v>
      </c>
      <c r="H23" s="64">
        <f t="shared" si="3"/>
        <v>0</v>
      </c>
      <c r="I23" s="64">
        <f t="shared" si="3"/>
        <v>0</v>
      </c>
      <c r="J23" s="64">
        <f t="shared" si="3"/>
        <v>0</v>
      </c>
    </row>
    <row r="24" spans="1:10">
      <c r="A24" s="63"/>
      <c r="B24" s="63"/>
      <c r="C24" s="64"/>
      <c r="D24" s="64"/>
      <c r="E24" s="64"/>
      <c r="F24" s="64"/>
      <c r="G24" s="64"/>
      <c r="H24" s="64"/>
      <c r="I24" s="64"/>
      <c r="J24" s="64"/>
    </row>
    <row r="25" spans="1:10">
      <c r="A25" s="65" t="s">
        <v>137</v>
      </c>
      <c r="B25" s="65"/>
      <c r="C25" s="64"/>
      <c r="D25" s="64"/>
      <c r="E25" s="64"/>
      <c r="F25" s="64"/>
      <c r="G25" s="64"/>
      <c r="H25" s="64"/>
      <c r="I25" s="64"/>
      <c r="J25" s="64"/>
    </row>
    <row r="26" spans="1:10">
      <c r="A26" s="65" t="s">
        <v>302</v>
      </c>
      <c r="B26" s="65"/>
      <c r="C26" s="64"/>
      <c r="D26" s="64"/>
      <c r="E26" s="64"/>
      <c r="F26" s="64"/>
      <c r="G26" s="64"/>
      <c r="H26" s="64"/>
      <c r="I26" s="64"/>
      <c r="J26" s="64"/>
    </row>
    <row r="27" spans="1:10">
      <c r="A27" s="63" t="s">
        <v>293</v>
      </c>
      <c r="B27" s="164" t="s">
        <v>289</v>
      </c>
      <c r="C27" s="187">
        <v>15</v>
      </c>
      <c r="D27" s="64">
        <f t="shared" ref="D27:J27" si="4">$B$4*$C$27*D17*4</f>
        <v>0</v>
      </c>
      <c r="E27" s="64">
        <f t="shared" si="4"/>
        <v>0</v>
      </c>
      <c r="F27" s="64">
        <f t="shared" si="4"/>
        <v>0</v>
      </c>
      <c r="G27" s="64">
        <f t="shared" si="4"/>
        <v>0</v>
      </c>
      <c r="H27" s="64">
        <f t="shared" si="4"/>
        <v>0</v>
      </c>
      <c r="I27" s="64">
        <f t="shared" si="4"/>
        <v>0</v>
      </c>
      <c r="J27" s="64">
        <f t="shared" si="4"/>
        <v>0</v>
      </c>
    </row>
    <row r="28" spans="1:10">
      <c r="A28" s="63" t="s">
        <v>294</v>
      </c>
      <c r="B28" s="164" t="s">
        <v>289</v>
      </c>
      <c r="C28" s="187">
        <v>14</v>
      </c>
      <c r="D28" s="64">
        <f t="shared" ref="D28:J28" si="5">$B$4*$C$28*D17*12</f>
        <v>0</v>
      </c>
      <c r="E28" s="64">
        <f t="shared" si="5"/>
        <v>0</v>
      </c>
      <c r="F28" s="64">
        <f t="shared" si="5"/>
        <v>0</v>
      </c>
      <c r="G28" s="64">
        <f t="shared" si="5"/>
        <v>0</v>
      </c>
      <c r="H28" s="64">
        <f t="shared" si="5"/>
        <v>0</v>
      </c>
      <c r="I28" s="64">
        <f t="shared" si="5"/>
        <v>0</v>
      </c>
      <c r="J28" s="64">
        <f t="shared" si="5"/>
        <v>0</v>
      </c>
    </row>
    <row r="29" spans="1:10">
      <c r="A29" s="63" t="s">
        <v>295</v>
      </c>
      <c r="B29" s="164"/>
      <c r="C29" s="187">
        <f>B4*10</f>
        <v>0</v>
      </c>
      <c r="D29" s="64">
        <f>$C$29*12*D17</f>
        <v>0</v>
      </c>
      <c r="E29" s="64">
        <f t="shared" ref="E29:J29" si="6">$C$29*12*E17</f>
        <v>0</v>
      </c>
      <c r="F29" s="64">
        <f t="shared" si="6"/>
        <v>0</v>
      </c>
      <c r="G29" s="64">
        <f t="shared" si="6"/>
        <v>0</v>
      </c>
      <c r="H29" s="64">
        <f t="shared" si="6"/>
        <v>0</v>
      </c>
      <c r="I29" s="64">
        <f t="shared" si="6"/>
        <v>0</v>
      </c>
      <c r="J29" s="64">
        <f t="shared" si="6"/>
        <v>0</v>
      </c>
    </row>
    <row r="30" spans="1:10">
      <c r="A30" s="63"/>
      <c r="B30" s="164"/>
      <c r="C30" s="187"/>
      <c r="D30" s="64"/>
      <c r="E30" s="64"/>
      <c r="F30" s="64"/>
      <c r="G30" s="64"/>
      <c r="H30" s="64"/>
      <c r="I30" s="64"/>
      <c r="J30" s="64"/>
    </row>
    <row r="31" spans="1:10">
      <c r="A31" s="63"/>
      <c r="B31" s="164"/>
      <c r="C31" s="187"/>
      <c r="D31" s="64"/>
      <c r="E31" s="64"/>
      <c r="F31" s="64"/>
      <c r="G31" s="64"/>
      <c r="H31" s="64"/>
      <c r="I31" s="64"/>
      <c r="J31" s="64"/>
    </row>
    <row r="32" spans="1:10">
      <c r="A32" s="63"/>
      <c r="B32" s="164"/>
      <c r="C32" s="187"/>
      <c r="D32" s="64"/>
      <c r="E32" s="64"/>
      <c r="F32" s="64"/>
      <c r="G32" s="64"/>
      <c r="H32" s="64"/>
      <c r="I32" s="64"/>
      <c r="J32" s="64"/>
    </row>
    <row r="33" spans="1:10">
      <c r="A33" s="63"/>
      <c r="B33" s="164"/>
      <c r="C33" s="187"/>
      <c r="D33" s="64"/>
      <c r="E33" s="64"/>
      <c r="F33" s="64"/>
      <c r="G33" s="64"/>
      <c r="H33" s="64"/>
      <c r="I33" s="64"/>
      <c r="J33" s="64"/>
    </row>
    <row r="34" spans="1:10">
      <c r="A34" s="65" t="s">
        <v>309</v>
      </c>
      <c r="B34" s="169"/>
      <c r="C34" s="191"/>
      <c r="D34" s="79">
        <f>SUM(D27:D33)</f>
        <v>0</v>
      </c>
      <c r="E34" s="79">
        <f t="shared" ref="E34:J34" si="7">SUM(E27:E33)</f>
        <v>0</v>
      </c>
      <c r="F34" s="79">
        <f t="shared" si="7"/>
        <v>0</v>
      </c>
      <c r="G34" s="79">
        <f t="shared" si="7"/>
        <v>0</v>
      </c>
      <c r="H34" s="79">
        <f t="shared" si="7"/>
        <v>0</v>
      </c>
      <c r="I34" s="79">
        <f t="shared" si="7"/>
        <v>0</v>
      </c>
      <c r="J34" s="79">
        <f t="shared" si="7"/>
        <v>0</v>
      </c>
    </row>
    <row r="35" spans="1:10">
      <c r="A35" s="65"/>
      <c r="B35" s="169"/>
      <c r="C35" s="191"/>
      <c r="D35" s="79"/>
      <c r="E35" s="79"/>
      <c r="F35" s="79"/>
      <c r="G35" s="79"/>
      <c r="H35" s="79"/>
      <c r="I35" s="79"/>
      <c r="J35" s="79"/>
    </row>
    <row r="36" spans="1:10">
      <c r="A36" s="65" t="s">
        <v>300</v>
      </c>
      <c r="B36" s="164"/>
      <c r="C36" s="187"/>
      <c r="D36" s="64"/>
      <c r="E36" s="64"/>
      <c r="F36" s="64"/>
      <c r="G36" s="64"/>
      <c r="H36" s="64"/>
      <c r="I36" s="64"/>
      <c r="J36" s="64"/>
    </row>
    <row r="37" spans="1:10">
      <c r="A37" s="63" t="s">
        <v>311</v>
      </c>
      <c r="B37" s="164">
        <v>1</v>
      </c>
      <c r="C37" s="187"/>
      <c r="D37" s="64">
        <f>$B$37*$C$37*D17*12</f>
        <v>0</v>
      </c>
      <c r="E37" s="64">
        <f t="shared" ref="E37:J37" si="8">$B$37*$C$37*E17*12</f>
        <v>0</v>
      </c>
      <c r="F37" s="64">
        <f t="shared" si="8"/>
        <v>0</v>
      </c>
      <c r="G37" s="64">
        <f t="shared" si="8"/>
        <v>0</v>
      </c>
      <c r="H37" s="64">
        <f t="shared" si="8"/>
        <v>0</v>
      </c>
      <c r="I37" s="64">
        <f t="shared" si="8"/>
        <v>0</v>
      </c>
      <c r="J37" s="64">
        <f t="shared" si="8"/>
        <v>0</v>
      </c>
    </row>
    <row r="38" spans="1:10">
      <c r="A38" s="63"/>
      <c r="B38" s="164"/>
      <c r="C38" s="187"/>
      <c r="D38" s="64"/>
      <c r="E38" s="64"/>
      <c r="F38" s="64"/>
      <c r="G38" s="64"/>
      <c r="H38" s="64"/>
      <c r="I38" s="64"/>
      <c r="J38" s="64"/>
    </row>
    <row r="39" spans="1:10">
      <c r="A39" s="63"/>
      <c r="B39" s="164"/>
      <c r="C39" s="187"/>
      <c r="D39" s="64"/>
      <c r="E39" s="64"/>
      <c r="F39" s="64"/>
      <c r="G39" s="64"/>
      <c r="H39" s="64"/>
      <c r="I39" s="64"/>
      <c r="J39" s="64"/>
    </row>
    <row r="40" spans="1:10">
      <c r="A40" s="63"/>
      <c r="B40" s="164"/>
      <c r="C40" s="187"/>
      <c r="D40" s="64"/>
      <c r="E40" s="64"/>
      <c r="F40" s="64"/>
      <c r="G40" s="64"/>
      <c r="H40" s="64"/>
      <c r="I40" s="64"/>
      <c r="J40" s="64"/>
    </row>
    <row r="41" spans="1:10">
      <c r="A41" s="63"/>
      <c r="B41" s="164"/>
      <c r="C41" s="187"/>
      <c r="D41" s="64"/>
      <c r="E41" s="64"/>
      <c r="F41" s="64"/>
      <c r="G41" s="64"/>
      <c r="H41" s="64"/>
      <c r="I41" s="64"/>
      <c r="J41" s="64"/>
    </row>
    <row r="42" spans="1:10">
      <c r="A42" s="63"/>
      <c r="B42" s="164"/>
      <c r="C42" s="187"/>
      <c r="D42" s="64"/>
      <c r="E42" s="64"/>
      <c r="F42" s="64"/>
      <c r="G42" s="64"/>
      <c r="H42" s="64"/>
      <c r="I42" s="64"/>
      <c r="J42" s="64"/>
    </row>
    <row r="43" spans="1:10">
      <c r="A43" s="65" t="s">
        <v>313</v>
      </c>
      <c r="B43" s="65"/>
      <c r="C43" s="79"/>
      <c r="D43" s="79">
        <f>SUM(D37:D42)</f>
        <v>0</v>
      </c>
      <c r="E43" s="79">
        <f t="shared" ref="E43:J43" si="9">SUM(E37:E42)</f>
        <v>0</v>
      </c>
      <c r="F43" s="79">
        <f t="shared" si="9"/>
        <v>0</v>
      </c>
      <c r="G43" s="79">
        <f t="shared" si="9"/>
        <v>0</v>
      </c>
      <c r="H43" s="79">
        <f t="shared" si="9"/>
        <v>0</v>
      </c>
      <c r="I43" s="79">
        <f t="shared" si="9"/>
        <v>0</v>
      </c>
      <c r="J43" s="79">
        <f t="shared" si="9"/>
        <v>0</v>
      </c>
    </row>
    <row r="44" spans="1:10">
      <c r="A44" s="65"/>
      <c r="B44" s="65"/>
      <c r="C44" s="79"/>
      <c r="D44" s="79"/>
      <c r="E44" s="79"/>
      <c r="F44" s="79"/>
      <c r="G44" s="79"/>
      <c r="H44" s="79"/>
      <c r="I44" s="79"/>
      <c r="J44" s="79"/>
    </row>
    <row r="45" spans="1:10">
      <c r="A45" s="65" t="s">
        <v>127</v>
      </c>
      <c r="B45" s="65"/>
      <c r="C45" s="79"/>
      <c r="D45" s="79">
        <f>D34+D43</f>
        <v>0</v>
      </c>
      <c r="E45" s="79">
        <f t="shared" ref="E45:J45" si="10">E34+E43</f>
        <v>0</v>
      </c>
      <c r="F45" s="79">
        <f t="shared" si="10"/>
        <v>0</v>
      </c>
      <c r="G45" s="79">
        <f t="shared" si="10"/>
        <v>0</v>
      </c>
      <c r="H45" s="79">
        <f t="shared" si="10"/>
        <v>0</v>
      </c>
      <c r="I45" s="79">
        <f t="shared" si="10"/>
        <v>0</v>
      </c>
      <c r="J45" s="79">
        <f t="shared" si="10"/>
        <v>0</v>
      </c>
    </row>
    <row r="46" spans="1:10">
      <c r="A46" s="63"/>
      <c r="B46" s="63"/>
      <c r="C46" s="64"/>
      <c r="D46" s="64"/>
      <c r="E46" s="64"/>
      <c r="F46" s="64"/>
      <c r="G46" s="64"/>
      <c r="H46" s="64"/>
      <c r="I46" s="64"/>
      <c r="J46" s="64"/>
    </row>
    <row r="47" spans="1:10">
      <c r="A47" s="65" t="s">
        <v>126</v>
      </c>
      <c r="B47" s="65"/>
      <c r="C47" s="79"/>
      <c r="D47" s="79">
        <f t="shared" ref="D47:J47" si="11">D23-D45</f>
        <v>0</v>
      </c>
      <c r="E47" s="79">
        <f t="shared" si="11"/>
        <v>0</v>
      </c>
      <c r="F47" s="79">
        <f t="shared" si="11"/>
        <v>0</v>
      </c>
      <c r="G47" s="79">
        <f t="shared" si="11"/>
        <v>0</v>
      </c>
      <c r="H47" s="79">
        <f t="shared" si="11"/>
        <v>0</v>
      </c>
      <c r="I47" s="79">
        <f t="shared" si="11"/>
        <v>0</v>
      </c>
      <c r="J47" s="79">
        <f t="shared" si="11"/>
        <v>0</v>
      </c>
    </row>
    <row r="48" spans="1:10">
      <c r="A48" s="62"/>
      <c r="B48" s="62"/>
      <c r="C48" s="62"/>
      <c r="D48" s="62"/>
      <c r="E48" s="62"/>
      <c r="F48" s="62"/>
      <c r="G48" s="62"/>
      <c r="H48" s="62"/>
      <c r="I48" s="62"/>
      <c r="J48" s="62"/>
    </row>
    <row r="49" spans="1:10">
      <c r="A49" s="62"/>
    </row>
    <row r="51" spans="1:10">
      <c r="A51" s="604" t="s">
        <v>407</v>
      </c>
      <c r="B51" s="604"/>
      <c r="C51" s="604"/>
      <c r="D51" s="604"/>
      <c r="E51" s="604"/>
      <c r="F51" s="604"/>
      <c r="G51" s="604"/>
      <c r="H51" s="604"/>
      <c r="I51" s="604"/>
      <c r="J51" s="604"/>
    </row>
    <row r="53" spans="1:10">
      <c r="A53" t="s">
        <v>500</v>
      </c>
    </row>
    <row r="54" spans="1:10">
      <c r="A54">
        <v>1</v>
      </c>
      <c r="B54" t="s">
        <v>510</v>
      </c>
    </row>
    <row r="55" spans="1:10">
      <c r="A55">
        <v>2</v>
      </c>
      <c r="B55" t="s">
        <v>511</v>
      </c>
    </row>
    <row r="56" spans="1:10">
      <c r="A56">
        <v>3</v>
      </c>
      <c r="B56" s="62" t="s">
        <v>560</v>
      </c>
    </row>
  </sheetData>
  <mergeCells count="4">
    <mergeCell ref="A15:J15"/>
    <mergeCell ref="A2:H2"/>
    <mergeCell ref="A51:J51"/>
    <mergeCell ref="A3:H3"/>
  </mergeCells>
  <pageMargins left="0.7" right="0.7" top="0.75" bottom="0.75" header="0.3" footer="0.3"/>
  <pageSetup paperSize="9" scale="73"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68"/>
  <sheetViews>
    <sheetView view="pageBreakPreview" topLeftCell="A44" zoomScale="55" zoomScaleSheetLayoutView="55" workbookViewId="0">
      <selection activeCell="O54" sqref="O54"/>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602" t="s">
        <v>550</v>
      </c>
      <c r="B3" s="602"/>
      <c r="C3" s="602"/>
      <c r="D3" s="602"/>
      <c r="E3" s="602"/>
      <c r="F3" s="602"/>
      <c r="G3" s="602"/>
      <c r="H3" s="602"/>
      <c r="I3" s="602"/>
      <c r="J3" s="602"/>
      <c r="K3" s="602"/>
      <c r="L3" s="602"/>
    </row>
    <row r="4" spans="1:13" ht="18.75">
      <c r="A4" s="602" t="s">
        <v>551</v>
      </c>
      <c r="B4" s="602"/>
      <c r="C4" s="602"/>
      <c r="D4" s="602"/>
      <c r="E4" s="602"/>
      <c r="F4" s="602"/>
      <c r="G4" s="602"/>
      <c r="H4" s="602"/>
      <c r="I4" s="602"/>
      <c r="J4" s="602"/>
      <c r="K4" s="602"/>
      <c r="L4" s="602"/>
    </row>
    <row r="5" spans="1:13">
      <c r="A5" s="62"/>
      <c r="B5" s="62"/>
      <c r="C5" s="62"/>
    </row>
    <row r="6" spans="1:13">
      <c r="A6" s="62"/>
      <c r="B6" s="62"/>
      <c r="C6" s="62"/>
    </row>
    <row r="7" spans="1:13" ht="45">
      <c r="A7" s="214" t="s">
        <v>140</v>
      </c>
      <c r="B7" s="215" t="s">
        <v>415</v>
      </c>
      <c r="C7" s="215" t="s">
        <v>423</v>
      </c>
      <c r="D7" s="215" t="s">
        <v>421</v>
      </c>
      <c r="E7" s="215" t="s">
        <v>422</v>
      </c>
      <c r="F7" s="215" t="s">
        <v>296</v>
      </c>
      <c r="G7" s="215" t="s">
        <v>424</v>
      </c>
      <c r="H7" s="215" t="s">
        <v>425</v>
      </c>
      <c r="I7" s="215" t="s">
        <v>426</v>
      </c>
      <c r="J7" s="217" t="s">
        <v>429</v>
      </c>
      <c r="K7" s="215" t="s">
        <v>427</v>
      </c>
      <c r="L7" s="217" t="s">
        <v>428</v>
      </c>
      <c r="M7" s="215" t="s">
        <v>431</v>
      </c>
    </row>
    <row r="8" spans="1:13">
      <c r="A8" s="216">
        <v>1</v>
      </c>
      <c r="B8" s="211" t="s">
        <v>416</v>
      </c>
      <c r="C8" s="211"/>
      <c r="D8" s="211"/>
      <c r="E8" s="211">
        <v>6</v>
      </c>
      <c r="F8" s="9">
        <f>D8*E8*C8</f>
        <v>0</v>
      </c>
      <c r="G8" s="211">
        <v>4</v>
      </c>
      <c r="H8" s="9">
        <f>F8/G8</f>
        <v>0</v>
      </c>
      <c r="I8" s="211">
        <v>12</v>
      </c>
      <c r="J8" s="9">
        <f>H8*I8</f>
        <v>0</v>
      </c>
      <c r="K8" s="211">
        <v>3000</v>
      </c>
      <c r="L8" s="211">
        <v>1</v>
      </c>
      <c r="M8" s="9">
        <f t="shared" ref="M8:M17" si="0">D8*L8</f>
        <v>0</v>
      </c>
    </row>
    <row r="9" spans="1:13">
      <c r="A9" s="216">
        <v>2</v>
      </c>
      <c r="B9" s="211" t="s">
        <v>417</v>
      </c>
      <c r="C9" s="211"/>
      <c r="D9" s="211"/>
      <c r="E9" s="211">
        <v>6</v>
      </c>
      <c r="F9" s="9">
        <f t="shared" ref="F9:F17" si="1">D9*E9*C9</f>
        <v>0</v>
      </c>
      <c r="G9" s="211">
        <v>2</v>
      </c>
      <c r="H9" s="9">
        <f>F9/G9</f>
        <v>0</v>
      </c>
      <c r="I9" s="211">
        <v>8</v>
      </c>
      <c r="J9" s="9">
        <f t="shared" ref="J9:J17" si="2">H9*I9</f>
        <v>0</v>
      </c>
      <c r="K9" s="211">
        <v>1800</v>
      </c>
      <c r="L9" s="211">
        <v>1</v>
      </c>
      <c r="M9" s="9">
        <f t="shared" si="0"/>
        <v>0</v>
      </c>
    </row>
    <row r="10" spans="1:13">
      <c r="A10" s="216">
        <v>3</v>
      </c>
      <c r="B10" s="211" t="s">
        <v>418</v>
      </c>
      <c r="C10" s="211"/>
      <c r="D10" s="211"/>
      <c r="E10" s="211">
        <v>6</v>
      </c>
      <c r="F10" s="9">
        <f t="shared" si="1"/>
        <v>0</v>
      </c>
      <c r="G10" s="211">
        <v>2</v>
      </c>
      <c r="H10" s="9">
        <f>F10/G10</f>
        <v>0</v>
      </c>
      <c r="I10" s="211">
        <v>8</v>
      </c>
      <c r="J10" s="9">
        <f t="shared" si="2"/>
        <v>0</v>
      </c>
      <c r="K10" s="211">
        <v>1800</v>
      </c>
      <c r="L10" s="211">
        <v>1</v>
      </c>
      <c r="M10" s="9">
        <f t="shared" si="0"/>
        <v>0</v>
      </c>
    </row>
    <row r="11" spans="1:13">
      <c r="A11" s="216">
        <v>4</v>
      </c>
      <c r="B11" s="211" t="s">
        <v>419</v>
      </c>
      <c r="C11" s="211"/>
      <c r="D11" s="211"/>
      <c r="E11" s="211">
        <v>6</v>
      </c>
      <c r="F11" s="9">
        <f t="shared" si="1"/>
        <v>0</v>
      </c>
      <c r="G11" s="211">
        <v>2</v>
      </c>
      <c r="H11" s="9">
        <f>F11/G11</f>
        <v>0</v>
      </c>
      <c r="I11" s="211">
        <v>4</v>
      </c>
      <c r="J11" s="9">
        <f t="shared" si="2"/>
        <v>0</v>
      </c>
      <c r="K11" s="211">
        <v>1200</v>
      </c>
      <c r="L11" s="211">
        <v>1</v>
      </c>
      <c r="M11" s="9">
        <f t="shared" si="0"/>
        <v>0</v>
      </c>
    </row>
    <row r="12" spans="1:13">
      <c r="A12" s="216">
        <v>5</v>
      </c>
      <c r="B12" s="211" t="s">
        <v>420</v>
      </c>
      <c r="C12" s="211"/>
      <c r="D12" s="211"/>
      <c r="E12" s="211">
        <v>6</v>
      </c>
      <c r="F12" s="9">
        <f t="shared" si="1"/>
        <v>0</v>
      </c>
      <c r="G12" s="211">
        <v>2</v>
      </c>
      <c r="H12" s="9">
        <f>F12/G12</f>
        <v>0</v>
      </c>
      <c r="I12" s="211">
        <v>10</v>
      </c>
      <c r="J12" s="9">
        <f t="shared" si="2"/>
        <v>0</v>
      </c>
      <c r="K12" s="211">
        <v>3000</v>
      </c>
      <c r="L12" s="211">
        <v>1</v>
      </c>
      <c r="M12" s="9">
        <f t="shared" si="0"/>
        <v>0</v>
      </c>
    </row>
    <row r="13" spans="1:13">
      <c r="A13" s="216">
        <v>6</v>
      </c>
      <c r="B13" s="9"/>
      <c r="C13" s="9"/>
      <c r="D13" s="9"/>
      <c r="E13" s="9"/>
      <c r="F13" s="9">
        <f t="shared" si="1"/>
        <v>0</v>
      </c>
      <c r="G13" s="9">
        <v>0</v>
      </c>
      <c r="H13" s="211"/>
      <c r="I13" s="9"/>
      <c r="J13" s="9">
        <f t="shared" si="2"/>
        <v>0</v>
      </c>
      <c r="K13" s="9"/>
      <c r="L13" s="9"/>
      <c r="M13" s="9">
        <f t="shared" si="0"/>
        <v>0</v>
      </c>
    </row>
    <row r="14" spans="1:13">
      <c r="A14" s="216">
        <v>7</v>
      </c>
      <c r="B14" s="9"/>
      <c r="C14" s="9"/>
      <c r="D14" s="9"/>
      <c r="E14" s="9"/>
      <c r="F14" s="9">
        <f t="shared" si="1"/>
        <v>0</v>
      </c>
      <c r="G14" s="9">
        <v>0</v>
      </c>
      <c r="H14" s="211"/>
      <c r="I14" s="9"/>
      <c r="J14" s="9">
        <f t="shared" si="2"/>
        <v>0</v>
      </c>
      <c r="K14" s="9"/>
      <c r="L14" s="9"/>
      <c r="M14" s="9">
        <f t="shared" si="0"/>
        <v>0</v>
      </c>
    </row>
    <row r="15" spans="1:13">
      <c r="A15" s="216">
        <v>8</v>
      </c>
      <c r="B15" s="9"/>
      <c r="C15" s="9"/>
      <c r="D15" s="9"/>
      <c r="E15" s="9"/>
      <c r="F15" s="9">
        <f t="shared" si="1"/>
        <v>0</v>
      </c>
      <c r="G15" s="9">
        <v>0</v>
      </c>
      <c r="H15" s="211"/>
      <c r="I15" s="9"/>
      <c r="J15" s="9">
        <f t="shared" si="2"/>
        <v>0</v>
      </c>
      <c r="K15" s="9"/>
      <c r="L15" s="9"/>
      <c r="M15" s="9">
        <f t="shared" si="0"/>
        <v>0</v>
      </c>
    </row>
    <row r="16" spans="1:13">
      <c r="A16" s="216">
        <v>9</v>
      </c>
      <c r="B16" s="9"/>
      <c r="C16" s="9"/>
      <c r="D16" s="9"/>
      <c r="E16" s="9"/>
      <c r="F16" s="9">
        <f t="shared" si="1"/>
        <v>0</v>
      </c>
      <c r="G16" s="9">
        <v>0</v>
      </c>
      <c r="H16" s="211"/>
      <c r="I16" s="9"/>
      <c r="J16" s="9">
        <f t="shared" si="2"/>
        <v>0</v>
      </c>
      <c r="K16" s="9"/>
      <c r="L16" s="9"/>
      <c r="M16" s="9">
        <f t="shared" si="0"/>
        <v>0</v>
      </c>
    </row>
    <row r="17" spans="1:16">
      <c r="A17" s="216">
        <v>10</v>
      </c>
      <c r="B17" s="9"/>
      <c r="C17" s="9"/>
      <c r="D17" s="9"/>
      <c r="E17" s="9"/>
      <c r="F17" s="9">
        <f t="shared" si="1"/>
        <v>0</v>
      </c>
      <c r="G17" s="9">
        <v>0</v>
      </c>
      <c r="H17" s="211"/>
      <c r="I17" s="9"/>
      <c r="J17" s="9">
        <f t="shared" si="2"/>
        <v>0</v>
      </c>
      <c r="K17" s="9"/>
      <c r="L17" s="9"/>
      <c r="M17" s="9">
        <f t="shared" si="0"/>
        <v>0</v>
      </c>
    </row>
    <row r="18" spans="1:16">
      <c r="A18" s="13"/>
      <c r="B18" s="13"/>
    </row>
    <row r="19" spans="1:16">
      <c r="A19" s="13"/>
      <c r="B19" s="13"/>
    </row>
    <row r="21" spans="1:16" ht="18.75">
      <c r="A21" s="602" t="s">
        <v>552</v>
      </c>
      <c r="B21" s="602"/>
      <c r="C21" s="602"/>
      <c r="D21" s="602"/>
      <c r="E21" s="602"/>
      <c r="F21" s="602"/>
      <c r="G21" s="602"/>
      <c r="H21" s="602"/>
      <c r="I21" s="602"/>
      <c r="J21" s="602"/>
      <c r="K21" s="602"/>
    </row>
    <row r="23" spans="1:16">
      <c r="A23" s="62"/>
      <c r="B23" s="62"/>
      <c r="C23" s="62"/>
      <c r="D23" s="62"/>
      <c r="E23" s="124">
        <v>1</v>
      </c>
      <c r="F23" s="122">
        <f>(E23*5%)+E23</f>
        <v>1.05</v>
      </c>
      <c r="G23" s="122">
        <f t="shared" ref="G23:K23" si="3">(F23*5%)+F23</f>
        <v>1.1025</v>
      </c>
      <c r="H23" s="122">
        <f t="shared" si="3"/>
        <v>1.1576250000000001</v>
      </c>
      <c r="I23" s="122">
        <f t="shared" si="3"/>
        <v>1.2155062500000002</v>
      </c>
      <c r="J23" s="122">
        <f t="shared" si="3"/>
        <v>1.2762815625000004</v>
      </c>
      <c r="K23" s="122">
        <f t="shared" si="3"/>
        <v>1.3400956406250004</v>
      </c>
    </row>
    <row r="24" spans="1:16">
      <c r="A24" s="103" t="s">
        <v>0</v>
      </c>
      <c r="B24" s="103" t="s">
        <v>128</v>
      </c>
      <c r="C24" s="103" t="s">
        <v>141</v>
      </c>
      <c r="D24" s="103" t="s">
        <v>148</v>
      </c>
      <c r="E24" s="83" t="s">
        <v>2</v>
      </c>
      <c r="F24" s="83" t="s">
        <v>3</v>
      </c>
      <c r="G24" s="83" t="s">
        <v>4</v>
      </c>
      <c r="H24" s="83" t="s">
        <v>5</v>
      </c>
      <c r="I24" s="83" t="s">
        <v>6</v>
      </c>
      <c r="J24" s="83" t="s">
        <v>164</v>
      </c>
      <c r="K24" s="83" t="s">
        <v>163</v>
      </c>
    </row>
    <row r="25" spans="1:16">
      <c r="A25" s="65"/>
      <c r="B25" s="65"/>
      <c r="C25" s="65"/>
      <c r="D25" s="65"/>
      <c r="E25" s="63"/>
      <c r="F25" s="63"/>
      <c r="G25" s="63"/>
      <c r="H25" s="63"/>
      <c r="I25" s="63"/>
      <c r="J25" s="63"/>
      <c r="K25" s="63"/>
    </row>
    <row r="26" spans="1:16">
      <c r="A26" s="65" t="s">
        <v>124</v>
      </c>
      <c r="B26" s="65"/>
      <c r="C26" s="65"/>
      <c r="D26" s="65"/>
      <c r="E26" s="63"/>
      <c r="F26" s="63"/>
      <c r="G26" s="63"/>
      <c r="H26" s="63"/>
      <c r="I26" s="63"/>
      <c r="J26" s="63"/>
      <c r="K26" s="63"/>
      <c r="P26" s="62"/>
    </row>
    <row r="27" spans="1:16">
      <c r="A27" s="135" t="s">
        <v>433</v>
      </c>
      <c r="B27" s="73"/>
      <c r="C27" s="73"/>
      <c r="D27" s="73"/>
      <c r="E27" s="64"/>
      <c r="F27" s="64"/>
      <c r="G27" s="64"/>
      <c r="H27" s="64"/>
      <c r="I27" s="64"/>
      <c r="J27" s="64"/>
      <c r="K27" s="64"/>
      <c r="P27" s="62"/>
    </row>
    <row r="28" spans="1:16">
      <c r="A28" s="73" t="str">
        <f>B8</f>
        <v>Double Plough</v>
      </c>
      <c r="B28" s="73"/>
      <c r="C28" s="73">
        <f>H8</f>
        <v>0</v>
      </c>
      <c r="D28" s="73">
        <f>K8</f>
        <v>3000</v>
      </c>
      <c r="E28" s="64">
        <f>$C$28*$D$28*E23</f>
        <v>0</v>
      </c>
      <c r="F28" s="64">
        <f t="shared" ref="F28:K28" si="4">$C$28*$D$28*F23</f>
        <v>0</v>
      </c>
      <c r="G28" s="64">
        <f t="shared" si="4"/>
        <v>0</v>
      </c>
      <c r="H28" s="64">
        <f t="shared" si="4"/>
        <v>0</v>
      </c>
      <c r="I28" s="64">
        <f t="shared" si="4"/>
        <v>0</v>
      </c>
      <c r="J28" s="64">
        <f t="shared" si="4"/>
        <v>0</v>
      </c>
      <c r="K28" s="64">
        <f t="shared" si="4"/>
        <v>0</v>
      </c>
      <c r="P28" s="62"/>
    </row>
    <row r="29" spans="1:16">
      <c r="A29" s="73" t="str">
        <f>B9</f>
        <v>Cultivator</v>
      </c>
      <c r="B29" s="73"/>
      <c r="C29" s="73">
        <f t="shared" ref="C29:C38" si="5">H9</f>
        <v>0</v>
      </c>
      <c r="D29" s="73">
        <f>K9</f>
        <v>1800</v>
      </c>
      <c r="E29" s="64">
        <f>$C$29*$D$29*E23</f>
        <v>0</v>
      </c>
      <c r="F29" s="64">
        <f t="shared" ref="F29:K29" si="6">$C$29*$D$29*F23</f>
        <v>0</v>
      </c>
      <c r="G29" s="64">
        <f t="shared" si="6"/>
        <v>0</v>
      </c>
      <c r="H29" s="64">
        <f t="shared" si="6"/>
        <v>0</v>
      </c>
      <c r="I29" s="64">
        <f t="shared" si="6"/>
        <v>0</v>
      </c>
      <c r="J29" s="64">
        <f t="shared" si="6"/>
        <v>0</v>
      </c>
      <c r="K29" s="64">
        <f t="shared" si="6"/>
        <v>0</v>
      </c>
      <c r="P29" s="62"/>
    </row>
    <row r="30" spans="1:16">
      <c r="A30" s="73" t="str">
        <f>B10</f>
        <v>Rotavator</v>
      </c>
      <c r="B30" s="73"/>
      <c r="C30" s="73">
        <f t="shared" si="5"/>
        <v>0</v>
      </c>
      <c r="D30" s="73">
        <f>K10</f>
        <v>1800</v>
      </c>
      <c r="E30" s="64">
        <f>$C$30*$D$30*E23</f>
        <v>0</v>
      </c>
      <c r="F30" s="64">
        <f t="shared" ref="F30:K30" si="7">$C$30*$D$30*F23</f>
        <v>0</v>
      </c>
      <c r="G30" s="64">
        <f t="shared" si="7"/>
        <v>0</v>
      </c>
      <c r="H30" s="64">
        <f t="shared" si="7"/>
        <v>0</v>
      </c>
      <c r="I30" s="64">
        <f t="shared" si="7"/>
        <v>0</v>
      </c>
      <c r="J30" s="64">
        <f t="shared" si="7"/>
        <v>0</v>
      </c>
      <c r="K30" s="64">
        <f t="shared" si="7"/>
        <v>0</v>
      </c>
      <c r="P30" s="62"/>
    </row>
    <row r="31" spans="1:16">
      <c r="A31" s="73" t="str">
        <f>B11</f>
        <v>BBF Seed Sowing Machine</v>
      </c>
      <c r="B31" s="73"/>
      <c r="C31" s="73">
        <f t="shared" si="5"/>
        <v>0</v>
      </c>
      <c r="D31" s="73">
        <f>K11</f>
        <v>1200</v>
      </c>
      <c r="E31" s="64">
        <f>$C$31*$D$31*E23</f>
        <v>0</v>
      </c>
      <c r="F31" s="64">
        <f t="shared" ref="F31:K31" si="8">$C$31*$D$31*F23</f>
        <v>0</v>
      </c>
      <c r="G31" s="64">
        <f t="shared" si="8"/>
        <v>0</v>
      </c>
      <c r="H31" s="64">
        <f t="shared" si="8"/>
        <v>0</v>
      </c>
      <c r="I31" s="64">
        <f t="shared" si="8"/>
        <v>0</v>
      </c>
      <c r="J31" s="64">
        <f t="shared" si="8"/>
        <v>0</v>
      </c>
      <c r="K31" s="64">
        <f t="shared" si="8"/>
        <v>0</v>
      </c>
      <c r="P31" s="62"/>
    </row>
    <row r="32" spans="1:16">
      <c r="A32" s="73" t="str">
        <f>B12</f>
        <v>Mobile Threshing</v>
      </c>
      <c r="B32" s="73"/>
      <c r="C32" s="73">
        <f t="shared" si="5"/>
        <v>0</v>
      </c>
      <c r="D32" s="73">
        <f>K12</f>
        <v>3000</v>
      </c>
      <c r="E32" s="64">
        <f>$C$32*$D$32*E23</f>
        <v>0</v>
      </c>
      <c r="F32" s="64">
        <f t="shared" ref="F32:K32" si="9">$C$32*$D$32*F23</f>
        <v>0</v>
      </c>
      <c r="G32" s="64">
        <f t="shared" si="9"/>
        <v>0</v>
      </c>
      <c r="H32" s="64">
        <f t="shared" si="9"/>
        <v>0</v>
      </c>
      <c r="I32" s="64">
        <f t="shared" si="9"/>
        <v>0</v>
      </c>
      <c r="J32" s="64">
        <f t="shared" si="9"/>
        <v>0</v>
      </c>
      <c r="K32" s="64">
        <f t="shared" si="9"/>
        <v>0</v>
      </c>
      <c r="P32" s="62"/>
    </row>
    <row r="33" spans="1:16">
      <c r="A33" s="73"/>
      <c r="B33" s="73"/>
      <c r="C33" s="73">
        <f t="shared" si="5"/>
        <v>0</v>
      </c>
      <c r="D33" s="73">
        <f t="shared" ref="D33:D38" si="10">K13</f>
        <v>0</v>
      </c>
      <c r="E33" s="64">
        <f>$C$33*$D$33*E23</f>
        <v>0</v>
      </c>
      <c r="F33" s="64">
        <f t="shared" ref="F33:K33" si="11">$C$33*$D$33*F23</f>
        <v>0</v>
      </c>
      <c r="G33" s="64">
        <f t="shared" si="11"/>
        <v>0</v>
      </c>
      <c r="H33" s="64">
        <f t="shared" si="11"/>
        <v>0</v>
      </c>
      <c r="I33" s="64">
        <f t="shared" si="11"/>
        <v>0</v>
      </c>
      <c r="J33" s="64">
        <f t="shared" si="11"/>
        <v>0</v>
      </c>
      <c r="K33" s="64">
        <f t="shared" si="11"/>
        <v>0</v>
      </c>
      <c r="P33" s="62"/>
    </row>
    <row r="34" spans="1:16">
      <c r="A34" s="73"/>
      <c r="B34" s="73"/>
      <c r="C34" s="73">
        <f t="shared" si="5"/>
        <v>0</v>
      </c>
      <c r="D34" s="73">
        <f t="shared" si="10"/>
        <v>0</v>
      </c>
      <c r="E34" s="64">
        <f>$C$34*$D$34*E23</f>
        <v>0</v>
      </c>
      <c r="F34" s="64">
        <f t="shared" ref="F34:K34" si="12">$C$34*$D$34*F23</f>
        <v>0</v>
      </c>
      <c r="G34" s="64">
        <f t="shared" si="12"/>
        <v>0</v>
      </c>
      <c r="H34" s="64">
        <f t="shared" si="12"/>
        <v>0</v>
      </c>
      <c r="I34" s="64">
        <f t="shared" si="12"/>
        <v>0</v>
      </c>
      <c r="J34" s="64">
        <f t="shared" si="12"/>
        <v>0</v>
      </c>
      <c r="K34" s="64">
        <f t="shared" si="12"/>
        <v>0</v>
      </c>
      <c r="P34" s="62"/>
    </row>
    <row r="35" spans="1:16">
      <c r="A35" s="73"/>
      <c r="B35" s="73"/>
      <c r="C35" s="73">
        <f t="shared" si="5"/>
        <v>0</v>
      </c>
      <c r="D35" s="73">
        <f t="shared" si="10"/>
        <v>0</v>
      </c>
      <c r="E35" s="64">
        <f>$C$35*$D$35*E23</f>
        <v>0</v>
      </c>
      <c r="F35" s="64">
        <f t="shared" ref="F35:K35" si="13">$C$35*$D$35*F23</f>
        <v>0</v>
      </c>
      <c r="G35" s="64">
        <f t="shared" si="13"/>
        <v>0</v>
      </c>
      <c r="H35" s="64">
        <f t="shared" si="13"/>
        <v>0</v>
      </c>
      <c r="I35" s="64">
        <f t="shared" si="13"/>
        <v>0</v>
      </c>
      <c r="J35" s="64">
        <f t="shared" si="13"/>
        <v>0</v>
      </c>
      <c r="K35" s="64">
        <f t="shared" si="13"/>
        <v>0</v>
      </c>
      <c r="P35" s="62"/>
    </row>
    <row r="36" spans="1:16">
      <c r="A36" s="73"/>
      <c r="B36" s="73"/>
      <c r="C36" s="73">
        <f t="shared" si="5"/>
        <v>0</v>
      </c>
      <c r="D36" s="73">
        <f t="shared" si="10"/>
        <v>0</v>
      </c>
      <c r="E36" s="64">
        <f>$C$36*$D$36*E23</f>
        <v>0</v>
      </c>
      <c r="F36" s="64">
        <f t="shared" ref="F36:K36" si="14">$C$36*$D$36*F23</f>
        <v>0</v>
      </c>
      <c r="G36" s="64">
        <f t="shared" si="14"/>
        <v>0</v>
      </c>
      <c r="H36" s="64">
        <f t="shared" si="14"/>
        <v>0</v>
      </c>
      <c r="I36" s="64">
        <f t="shared" si="14"/>
        <v>0</v>
      </c>
      <c r="J36" s="64">
        <f t="shared" si="14"/>
        <v>0</v>
      </c>
      <c r="K36" s="64">
        <f t="shared" si="14"/>
        <v>0</v>
      </c>
      <c r="P36" s="62"/>
    </row>
    <row r="37" spans="1:16">
      <c r="A37" s="73"/>
      <c r="B37" s="73"/>
      <c r="C37" s="73">
        <f t="shared" si="5"/>
        <v>0</v>
      </c>
      <c r="D37" s="73">
        <f t="shared" si="10"/>
        <v>0</v>
      </c>
      <c r="E37" s="64">
        <f>$C$37*$D$37*E23</f>
        <v>0</v>
      </c>
      <c r="F37" s="64">
        <f t="shared" ref="F37:K37" si="15">$C$37*$D$37*F23</f>
        <v>0</v>
      </c>
      <c r="G37" s="64">
        <f t="shared" si="15"/>
        <v>0</v>
      </c>
      <c r="H37" s="64">
        <f t="shared" si="15"/>
        <v>0</v>
      </c>
      <c r="I37" s="64">
        <f t="shared" si="15"/>
        <v>0</v>
      </c>
      <c r="J37" s="64">
        <f t="shared" si="15"/>
        <v>0</v>
      </c>
      <c r="K37" s="64">
        <f t="shared" si="15"/>
        <v>0</v>
      </c>
      <c r="P37" s="62"/>
    </row>
    <row r="38" spans="1:16">
      <c r="A38" s="65"/>
      <c r="B38" s="65"/>
      <c r="C38" s="73">
        <f t="shared" si="5"/>
        <v>0</v>
      </c>
      <c r="D38" s="73">
        <f t="shared" si="10"/>
        <v>0</v>
      </c>
      <c r="E38" s="64">
        <f>$C$38*$D$38*E23</f>
        <v>0</v>
      </c>
      <c r="F38" s="64">
        <f t="shared" ref="F38:K38" si="16">$C$38*$D$38*F23</f>
        <v>0</v>
      </c>
      <c r="G38" s="64">
        <f t="shared" si="16"/>
        <v>0</v>
      </c>
      <c r="H38" s="64">
        <f t="shared" si="16"/>
        <v>0</v>
      </c>
      <c r="I38" s="64">
        <f t="shared" si="16"/>
        <v>0</v>
      </c>
      <c r="J38" s="64">
        <f t="shared" si="16"/>
        <v>0</v>
      </c>
      <c r="K38" s="64">
        <f t="shared" si="16"/>
        <v>0</v>
      </c>
      <c r="P38" s="62"/>
    </row>
    <row r="39" spans="1:16">
      <c r="A39" s="65" t="s">
        <v>138</v>
      </c>
      <c r="B39" s="65"/>
      <c r="C39" s="65"/>
      <c r="D39" s="65"/>
      <c r="E39" s="64">
        <f>SUM(E28:E38)</f>
        <v>0</v>
      </c>
      <c r="F39" s="64">
        <f t="shared" ref="F39:K39" si="17">SUM(F28:F38)</f>
        <v>0</v>
      </c>
      <c r="G39" s="64">
        <f t="shared" si="17"/>
        <v>0</v>
      </c>
      <c r="H39" s="64">
        <f t="shared" si="17"/>
        <v>0</v>
      </c>
      <c r="I39" s="64">
        <f t="shared" si="17"/>
        <v>0</v>
      </c>
      <c r="J39" s="64">
        <f t="shared" si="17"/>
        <v>0</v>
      </c>
      <c r="K39" s="64">
        <f t="shared" si="17"/>
        <v>0</v>
      </c>
      <c r="P39" s="62"/>
    </row>
    <row r="40" spans="1:16">
      <c r="A40" s="63"/>
      <c r="B40" s="63"/>
      <c r="C40" s="63"/>
      <c r="D40" s="63"/>
      <c r="E40" s="64"/>
      <c r="F40" s="64"/>
      <c r="G40" s="64"/>
      <c r="H40" s="64"/>
      <c r="I40" s="64"/>
      <c r="J40" s="64"/>
      <c r="K40" s="64"/>
      <c r="P40" s="62"/>
    </row>
    <row r="41" spans="1:16">
      <c r="A41" s="65" t="s">
        <v>137</v>
      </c>
      <c r="B41" s="65"/>
      <c r="C41" s="65"/>
      <c r="D41" s="65"/>
      <c r="E41" s="64"/>
      <c r="F41" s="64"/>
      <c r="G41" s="64"/>
      <c r="H41" s="64"/>
      <c r="I41" s="64"/>
      <c r="J41" s="64"/>
      <c r="K41" s="64"/>
      <c r="P41" s="62"/>
    </row>
    <row r="42" spans="1:16">
      <c r="A42" s="65" t="s">
        <v>297</v>
      </c>
      <c r="B42" s="65"/>
      <c r="C42" s="65"/>
      <c r="D42" s="65"/>
      <c r="E42" s="64"/>
      <c r="F42" s="64"/>
      <c r="G42" s="64"/>
      <c r="H42" s="64"/>
      <c r="I42" s="64"/>
      <c r="J42" s="64"/>
      <c r="K42" s="64"/>
    </row>
    <row r="43" spans="1:16">
      <c r="A43" s="63" t="s">
        <v>298</v>
      </c>
      <c r="B43" s="63" t="s">
        <v>430</v>
      </c>
      <c r="C43" s="63">
        <f>SUM(J8:J17)</f>
        <v>0</v>
      </c>
      <c r="D43" s="164">
        <v>100</v>
      </c>
      <c r="E43" s="64">
        <f>$C$43*$D$43*E23</f>
        <v>0</v>
      </c>
      <c r="F43" s="64">
        <f t="shared" ref="F43:K43" si="18">$C$43*$D$43*F23</f>
        <v>0</v>
      </c>
      <c r="G43" s="64">
        <f t="shared" si="18"/>
        <v>0</v>
      </c>
      <c r="H43" s="64">
        <f t="shared" si="18"/>
        <v>0</v>
      </c>
      <c r="I43" s="64">
        <f t="shared" si="18"/>
        <v>0</v>
      </c>
      <c r="J43" s="64">
        <f t="shared" si="18"/>
        <v>0</v>
      </c>
      <c r="K43" s="64">
        <f t="shared" si="18"/>
        <v>0</v>
      </c>
    </row>
    <row r="44" spans="1:16">
      <c r="A44" s="63" t="s">
        <v>299</v>
      </c>
      <c r="B44" s="63" t="s">
        <v>432</v>
      </c>
      <c r="C44" s="63">
        <f>SUM(M8:M17)</f>
        <v>0</v>
      </c>
      <c r="D44" s="164">
        <v>300</v>
      </c>
      <c r="E44" s="64">
        <f>$C$44*$D$44*E23</f>
        <v>0</v>
      </c>
      <c r="F44" s="64">
        <f t="shared" ref="F44:K44" si="19">$C$44*$D$44*F23</f>
        <v>0</v>
      </c>
      <c r="G44" s="64">
        <f t="shared" si="19"/>
        <v>0</v>
      </c>
      <c r="H44" s="64">
        <f t="shared" si="19"/>
        <v>0</v>
      </c>
      <c r="I44" s="64">
        <f t="shared" si="19"/>
        <v>0</v>
      </c>
      <c r="J44" s="64">
        <f t="shared" si="19"/>
        <v>0</v>
      </c>
      <c r="K44" s="64">
        <f t="shared" si="19"/>
        <v>0</v>
      </c>
    </row>
    <row r="45" spans="1:16">
      <c r="A45" s="63"/>
      <c r="B45" s="63"/>
      <c r="C45" s="164"/>
      <c r="D45" s="164"/>
      <c r="E45" s="64"/>
      <c r="F45" s="64"/>
      <c r="G45" s="64"/>
      <c r="H45" s="64"/>
      <c r="I45" s="64"/>
      <c r="J45" s="64"/>
      <c r="K45" s="64"/>
    </row>
    <row r="46" spans="1:16">
      <c r="A46" s="63"/>
      <c r="B46" s="63"/>
      <c r="C46" s="164"/>
      <c r="D46" s="164"/>
      <c r="E46" s="64"/>
      <c r="F46" s="64"/>
      <c r="G46" s="64"/>
      <c r="H46" s="64"/>
      <c r="I46" s="64"/>
      <c r="J46" s="64"/>
      <c r="K46" s="64"/>
    </row>
    <row r="47" spans="1:16">
      <c r="A47" s="63"/>
      <c r="B47" s="63"/>
      <c r="C47" s="164"/>
      <c r="D47" s="164"/>
      <c r="E47" s="64"/>
      <c r="F47" s="64"/>
      <c r="G47" s="64"/>
      <c r="H47" s="64"/>
      <c r="I47" s="64"/>
      <c r="J47" s="64"/>
      <c r="K47" s="64"/>
    </row>
    <row r="48" spans="1:16">
      <c r="A48" s="63"/>
      <c r="B48" s="63"/>
      <c r="C48" s="164"/>
      <c r="D48" s="164"/>
      <c r="E48" s="64"/>
      <c r="F48" s="64"/>
      <c r="G48" s="64"/>
      <c r="H48" s="64"/>
      <c r="I48" s="64"/>
      <c r="J48" s="64"/>
      <c r="K48" s="64"/>
    </row>
    <row r="49" spans="1:12">
      <c r="A49" s="65" t="s">
        <v>309</v>
      </c>
      <c r="B49" s="65"/>
      <c r="C49" s="169"/>
      <c r="D49" s="169"/>
      <c r="E49" s="79">
        <f>SUM(E43:E48)</f>
        <v>0</v>
      </c>
      <c r="F49" s="79">
        <f t="shared" ref="F49:K49" si="20">SUM(F43:F48)</f>
        <v>0</v>
      </c>
      <c r="G49" s="79">
        <f t="shared" si="20"/>
        <v>0</v>
      </c>
      <c r="H49" s="79">
        <f t="shared" si="20"/>
        <v>0</v>
      </c>
      <c r="I49" s="79">
        <f t="shared" si="20"/>
        <v>0</v>
      </c>
      <c r="J49" s="79">
        <f t="shared" si="20"/>
        <v>0</v>
      </c>
      <c r="K49" s="79">
        <f t="shared" si="20"/>
        <v>0</v>
      </c>
    </row>
    <row r="50" spans="1:12">
      <c r="A50" s="65"/>
      <c r="B50" s="65"/>
      <c r="C50" s="169"/>
      <c r="D50" s="169"/>
      <c r="E50" s="79"/>
      <c r="F50" s="79"/>
      <c r="G50" s="79"/>
      <c r="H50" s="79"/>
      <c r="I50" s="79"/>
      <c r="J50" s="79"/>
      <c r="K50" s="79"/>
    </row>
    <row r="51" spans="1:12">
      <c r="A51" s="135" t="s">
        <v>300</v>
      </c>
      <c r="B51" s="135"/>
      <c r="C51" s="189"/>
      <c r="D51" s="189"/>
      <c r="E51" s="64"/>
      <c r="F51" s="64"/>
      <c r="G51" s="64"/>
      <c r="H51" s="64"/>
      <c r="I51" s="64"/>
      <c r="J51" s="64"/>
      <c r="K51" s="64"/>
    </row>
    <row r="52" spans="1:12">
      <c r="A52" s="73" t="s">
        <v>301</v>
      </c>
      <c r="B52" s="63" t="s">
        <v>379</v>
      </c>
      <c r="C52" s="189">
        <v>1</v>
      </c>
      <c r="D52" s="190"/>
      <c r="E52" s="64">
        <f t="shared" ref="E52:K52" si="21">$C$52*$D$52*12*E23</f>
        <v>0</v>
      </c>
      <c r="F52" s="64">
        <f t="shared" si="21"/>
        <v>0</v>
      </c>
      <c r="G52" s="64">
        <f t="shared" si="21"/>
        <v>0</v>
      </c>
      <c r="H52" s="64">
        <f t="shared" si="21"/>
        <v>0</v>
      </c>
      <c r="I52" s="64">
        <f t="shared" si="21"/>
        <v>0</v>
      </c>
      <c r="J52" s="64">
        <f t="shared" si="21"/>
        <v>0</v>
      </c>
      <c r="K52" s="64">
        <f t="shared" si="21"/>
        <v>0</v>
      </c>
    </row>
    <row r="53" spans="1:12">
      <c r="A53" s="73"/>
      <c r="B53" s="73"/>
      <c r="C53" s="189"/>
      <c r="D53" s="190"/>
      <c r="E53" s="64"/>
      <c r="F53" s="64"/>
      <c r="G53" s="64"/>
      <c r="H53" s="64"/>
      <c r="I53" s="64"/>
      <c r="J53" s="64"/>
      <c r="K53" s="64"/>
    </row>
    <row r="54" spans="1:12">
      <c r="A54" s="73"/>
      <c r="B54" s="73"/>
      <c r="C54" s="189"/>
      <c r="D54" s="190"/>
      <c r="E54" s="64"/>
      <c r="F54" s="64"/>
      <c r="G54" s="64"/>
      <c r="H54" s="64"/>
      <c r="I54" s="64"/>
      <c r="J54" s="64"/>
      <c r="K54" s="64"/>
    </row>
    <row r="55" spans="1:12">
      <c r="A55" s="73"/>
      <c r="B55" s="73"/>
      <c r="C55" s="189"/>
      <c r="D55" s="190"/>
      <c r="E55" s="64"/>
      <c r="F55" s="64"/>
      <c r="G55" s="64"/>
      <c r="H55" s="64"/>
      <c r="I55" s="64"/>
      <c r="J55" s="64"/>
      <c r="K55" s="64"/>
    </row>
    <row r="56" spans="1:12">
      <c r="A56" s="65" t="s">
        <v>313</v>
      </c>
      <c r="B56" s="65"/>
      <c r="C56" s="65"/>
      <c r="D56" s="65"/>
      <c r="E56" s="79">
        <f>SUM(E52:E55)</f>
        <v>0</v>
      </c>
      <c r="F56" s="79">
        <f t="shared" ref="F56:K56" si="22">SUM(F52:F55)</f>
        <v>0</v>
      </c>
      <c r="G56" s="79">
        <f t="shared" si="22"/>
        <v>0</v>
      </c>
      <c r="H56" s="79">
        <f t="shared" si="22"/>
        <v>0</v>
      </c>
      <c r="I56" s="79">
        <f t="shared" si="22"/>
        <v>0</v>
      </c>
      <c r="J56" s="79">
        <f t="shared" si="22"/>
        <v>0</v>
      </c>
      <c r="K56" s="79">
        <f t="shared" si="22"/>
        <v>0</v>
      </c>
    </row>
    <row r="57" spans="1:12">
      <c r="A57" s="65" t="s">
        <v>127</v>
      </c>
      <c r="B57" s="65"/>
      <c r="C57" s="65"/>
      <c r="D57" s="65"/>
      <c r="E57" s="79">
        <f>E49+E56</f>
        <v>0</v>
      </c>
      <c r="F57" s="79">
        <f t="shared" ref="F57:K57" si="23">F49+F56</f>
        <v>0</v>
      </c>
      <c r="G57" s="79">
        <f t="shared" si="23"/>
        <v>0</v>
      </c>
      <c r="H57" s="79">
        <f t="shared" si="23"/>
        <v>0</v>
      </c>
      <c r="I57" s="79">
        <f t="shared" si="23"/>
        <v>0</v>
      </c>
      <c r="J57" s="79">
        <f t="shared" si="23"/>
        <v>0</v>
      </c>
      <c r="K57" s="79">
        <f t="shared" si="23"/>
        <v>0</v>
      </c>
    </row>
    <row r="58" spans="1:12">
      <c r="A58" s="63"/>
      <c r="B58" s="63"/>
      <c r="C58" s="63"/>
      <c r="D58" s="63"/>
      <c r="E58" s="64"/>
      <c r="F58" s="64"/>
      <c r="G58" s="64"/>
      <c r="H58" s="64"/>
      <c r="I58" s="64"/>
      <c r="J58" s="64"/>
      <c r="K58" s="64"/>
    </row>
    <row r="59" spans="1:12">
      <c r="A59" s="65" t="s">
        <v>304</v>
      </c>
      <c r="B59" s="65"/>
      <c r="C59" s="65"/>
      <c r="D59" s="65"/>
      <c r="E59" s="79">
        <f t="shared" ref="E59:K59" si="24">E39-E57</f>
        <v>0</v>
      </c>
      <c r="F59" s="79">
        <f t="shared" si="24"/>
        <v>0</v>
      </c>
      <c r="G59" s="79">
        <f t="shared" si="24"/>
        <v>0</v>
      </c>
      <c r="H59" s="79">
        <f t="shared" si="24"/>
        <v>0</v>
      </c>
      <c r="I59" s="79">
        <f t="shared" si="24"/>
        <v>0</v>
      </c>
      <c r="J59" s="79">
        <f t="shared" si="24"/>
        <v>0</v>
      </c>
      <c r="K59" s="79">
        <f t="shared" si="24"/>
        <v>0</v>
      </c>
    </row>
    <row r="60" spans="1:12">
      <c r="A60" s="80"/>
      <c r="B60" s="80"/>
      <c r="C60" s="80"/>
      <c r="D60" s="80"/>
      <c r="E60" s="202"/>
      <c r="F60" s="202"/>
      <c r="G60" s="202"/>
      <c r="H60" s="202"/>
      <c r="I60" s="202"/>
      <c r="J60" s="202"/>
      <c r="K60" s="202"/>
    </row>
    <row r="61" spans="1:12">
      <c r="A61" s="62"/>
      <c r="B61" s="62"/>
      <c r="C61" s="80"/>
      <c r="D61" s="80"/>
      <c r="E61" s="202"/>
      <c r="F61" s="202"/>
      <c r="G61" s="202"/>
      <c r="H61" s="202"/>
      <c r="I61" s="202"/>
      <c r="J61" s="202"/>
      <c r="K61" s="202"/>
    </row>
    <row r="62" spans="1:12">
      <c r="A62" s="604" t="s">
        <v>405</v>
      </c>
      <c r="B62" s="604"/>
      <c r="C62" s="604"/>
      <c r="D62" s="604"/>
      <c r="E62" s="604"/>
      <c r="F62" s="604"/>
      <c r="G62" s="604"/>
      <c r="H62" s="604"/>
      <c r="I62" s="604"/>
      <c r="J62" s="604"/>
      <c r="K62" s="604"/>
      <c r="L62" s="604"/>
    </row>
    <row r="65" spans="1:2">
      <c r="A65" t="s">
        <v>500</v>
      </c>
    </row>
    <row r="66" spans="1:2">
      <c r="A66">
        <v>1</v>
      </c>
      <c r="B66" t="s">
        <v>510</v>
      </c>
    </row>
    <row r="67" spans="1:2">
      <c r="A67">
        <v>2</v>
      </c>
      <c r="B67" t="s">
        <v>511</v>
      </c>
    </row>
    <row r="68" spans="1:2">
      <c r="A68">
        <v>3</v>
      </c>
      <c r="B68" s="62" t="s">
        <v>560</v>
      </c>
    </row>
  </sheetData>
  <mergeCells count="4">
    <mergeCell ref="A21:K21"/>
    <mergeCell ref="A3:L3"/>
    <mergeCell ref="A62:L62"/>
    <mergeCell ref="A4:L4"/>
  </mergeCells>
  <pageMargins left="0.7" right="0.7" top="0.75" bottom="0.75" header="0.3" footer="0.3"/>
  <pageSetup paperSize="9" scale="48" orientation="portrait" r:id="rId1"/>
  <colBreaks count="1" manualBreakCount="1">
    <brk id="11" max="6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zoomScale="70" zoomScaleSheetLayoutView="70" workbookViewId="0">
      <selection activeCell="E34" sqref="E34"/>
    </sheetView>
  </sheetViews>
  <sheetFormatPr defaultRowHeight="15"/>
  <cols>
    <col min="1" max="1" width="41.140625" bestFit="1" customWidth="1"/>
    <col min="2" max="2" width="4.42578125" bestFit="1"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602" t="s">
        <v>553</v>
      </c>
      <c r="B2" s="602"/>
      <c r="C2" s="602"/>
      <c r="D2" s="602"/>
      <c r="E2" s="602"/>
      <c r="F2" s="602"/>
      <c r="G2" s="602"/>
      <c r="H2" s="602"/>
      <c r="I2" s="602"/>
    </row>
    <row r="4" spans="1:9">
      <c r="A4" s="62"/>
      <c r="B4" s="62"/>
      <c r="C4" s="62"/>
      <c r="D4" s="62"/>
      <c r="E4" s="62"/>
      <c r="F4" s="62"/>
      <c r="G4" s="62"/>
      <c r="H4" s="62"/>
      <c r="I4" s="62"/>
    </row>
    <row r="5" spans="1:9">
      <c r="A5" s="62"/>
      <c r="B5" s="62"/>
      <c r="C5" s="62"/>
      <c r="D5" s="62"/>
      <c r="E5" s="62"/>
      <c r="F5" s="62"/>
      <c r="G5" s="62"/>
      <c r="H5" s="62"/>
      <c r="I5" s="62"/>
    </row>
    <row r="6" spans="1:9">
      <c r="A6" s="103" t="s">
        <v>125</v>
      </c>
      <c r="B6" s="103"/>
      <c r="C6" s="83" t="s">
        <v>2</v>
      </c>
      <c r="D6" s="83" t="s">
        <v>3</v>
      </c>
      <c r="E6" s="83" t="s">
        <v>4</v>
      </c>
      <c r="F6" s="83" t="s">
        <v>5</v>
      </c>
      <c r="G6" s="83" t="s">
        <v>6</v>
      </c>
      <c r="H6" s="83" t="s">
        <v>164</v>
      </c>
      <c r="I6" s="83" t="s">
        <v>163</v>
      </c>
    </row>
    <row r="7" spans="1:9">
      <c r="A7" s="65" t="s">
        <v>513</v>
      </c>
      <c r="B7" s="63"/>
      <c r="C7" s="63"/>
      <c r="D7" s="63"/>
      <c r="E7" s="63"/>
      <c r="F7" s="63"/>
      <c r="G7" s="63"/>
      <c r="H7" s="63"/>
      <c r="I7" s="63"/>
    </row>
    <row r="8" spans="1:9">
      <c r="A8" s="65" t="s">
        <v>173</v>
      </c>
      <c r="B8" s="140"/>
      <c r="C8" s="188"/>
      <c r="D8" s="188"/>
      <c r="E8" s="188"/>
      <c r="F8" s="188"/>
      <c r="G8" s="188"/>
      <c r="H8" s="188"/>
      <c r="I8" s="188"/>
    </row>
    <row r="9" spans="1:9">
      <c r="A9" s="63" t="str">
        <f>'10.Grain Production details'!A92</f>
        <v>Soybean</v>
      </c>
      <c r="B9" s="140"/>
      <c r="C9" s="188">
        <f>'10.Grain Production details'!B92</f>
        <v>0</v>
      </c>
      <c r="D9" s="188">
        <f>'10.Grain Production details'!C92</f>
        <v>0</v>
      </c>
      <c r="E9" s="188">
        <f>'10.Grain Production details'!D92</f>
        <v>0</v>
      </c>
      <c r="F9" s="188">
        <f>'10.Grain Production details'!E92</f>
        <v>0</v>
      </c>
      <c r="G9" s="188">
        <f>'10.Grain Production details'!F92</f>
        <v>0</v>
      </c>
      <c r="H9" s="188">
        <f>'10.Grain Production details'!G92</f>
        <v>0</v>
      </c>
      <c r="I9" s="188">
        <f>'10.Grain Production details'!H92</f>
        <v>0</v>
      </c>
    </row>
    <row r="10" spans="1:9">
      <c r="A10" s="63" t="str">
        <f>'10.Grain Production details'!A93</f>
        <v>Red Gram/Tur</v>
      </c>
      <c r="B10" s="140"/>
      <c r="C10" s="188">
        <f>'10.Grain Production details'!B93</f>
        <v>0</v>
      </c>
      <c r="D10" s="188">
        <f>'10.Grain Production details'!C93</f>
        <v>0</v>
      </c>
      <c r="E10" s="188">
        <f>'10.Grain Production details'!D93</f>
        <v>0</v>
      </c>
      <c r="F10" s="188">
        <f>'10.Grain Production details'!E93</f>
        <v>0</v>
      </c>
      <c r="G10" s="188">
        <f>'10.Grain Production details'!F93</f>
        <v>0</v>
      </c>
      <c r="H10" s="188">
        <f>'10.Grain Production details'!G93</f>
        <v>0</v>
      </c>
      <c r="I10" s="188">
        <f>'10.Grain Production details'!H93</f>
        <v>0</v>
      </c>
    </row>
    <row r="11" spans="1:9">
      <c r="A11" s="63" t="str">
        <f>'10.Grain Production details'!A94</f>
        <v>Paddy/Rice</v>
      </c>
      <c r="B11" s="140"/>
      <c r="C11" s="188">
        <f>'10.Grain Production details'!B94</f>
        <v>0</v>
      </c>
      <c r="D11" s="188">
        <f>'10.Grain Production details'!C94</f>
        <v>0</v>
      </c>
      <c r="E11" s="188">
        <f>'10.Grain Production details'!D94</f>
        <v>0</v>
      </c>
      <c r="F11" s="188">
        <f>'10.Grain Production details'!E94</f>
        <v>0</v>
      </c>
      <c r="G11" s="188">
        <f>'10.Grain Production details'!F94</f>
        <v>0</v>
      </c>
      <c r="H11" s="188">
        <f>'10.Grain Production details'!G94</f>
        <v>0</v>
      </c>
      <c r="I11" s="188">
        <f>'10.Grain Production details'!H94</f>
        <v>0</v>
      </c>
    </row>
    <row r="12" spans="1:9">
      <c r="A12" s="63" t="str">
        <f>'10.Grain Production details'!A95</f>
        <v>Green Gram/ Moong</v>
      </c>
      <c r="B12" s="140"/>
      <c r="C12" s="188">
        <f>'10.Grain Production details'!B95</f>
        <v>0</v>
      </c>
      <c r="D12" s="188">
        <f>'10.Grain Production details'!C95</f>
        <v>0</v>
      </c>
      <c r="E12" s="188">
        <f>'10.Grain Production details'!D95</f>
        <v>0</v>
      </c>
      <c r="F12" s="188">
        <f>'10.Grain Production details'!E95</f>
        <v>0</v>
      </c>
      <c r="G12" s="188">
        <f>'10.Grain Production details'!F95</f>
        <v>0</v>
      </c>
      <c r="H12" s="188">
        <f>'10.Grain Production details'!G95</f>
        <v>0</v>
      </c>
      <c r="I12" s="188">
        <f>'10.Grain Production details'!H95</f>
        <v>0</v>
      </c>
    </row>
    <row r="13" spans="1:9">
      <c r="A13" s="63" t="str">
        <f>'10.Grain Production details'!A96</f>
        <v>Maize</v>
      </c>
      <c r="B13" s="140"/>
      <c r="C13" s="188">
        <f>'10.Grain Production details'!B96</f>
        <v>0</v>
      </c>
      <c r="D13" s="188">
        <f>'10.Grain Production details'!C96</f>
        <v>0</v>
      </c>
      <c r="E13" s="188">
        <f>'10.Grain Production details'!D96</f>
        <v>0</v>
      </c>
      <c r="F13" s="188">
        <f>'10.Grain Production details'!E96</f>
        <v>0</v>
      </c>
      <c r="G13" s="188">
        <f>'10.Grain Production details'!F96</f>
        <v>0</v>
      </c>
      <c r="H13" s="188">
        <f>'10.Grain Production details'!G96</f>
        <v>0</v>
      </c>
      <c r="I13" s="188">
        <f>'10.Grain Production details'!H96</f>
        <v>0</v>
      </c>
    </row>
    <row r="14" spans="1:9">
      <c r="A14" s="63" t="str">
        <f>'10.Grain Production details'!A97</f>
        <v>Black Gram/Udid</v>
      </c>
      <c r="B14" s="140"/>
      <c r="C14" s="188">
        <f>'10.Grain Production details'!B97</f>
        <v>0</v>
      </c>
      <c r="D14" s="188">
        <f>'10.Grain Production details'!C97</f>
        <v>0</v>
      </c>
      <c r="E14" s="188">
        <f>'10.Grain Production details'!D97</f>
        <v>0</v>
      </c>
      <c r="F14" s="188">
        <f>'10.Grain Production details'!E97</f>
        <v>0</v>
      </c>
      <c r="G14" s="188">
        <f>'10.Grain Production details'!F97</f>
        <v>0</v>
      </c>
      <c r="H14" s="188">
        <f>'10.Grain Production details'!G97</f>
        <v>0</v>
      </c>
      <c r="I14" s="188">
        <f>'10.Grain Production details'!H97</f>
        <v>0</v>
      </c>
    </row>
    <row r="15" spans="1:9">
      <c r="A15" s="63" t="str">
        <f>'10.Grain Production details'!A98</f>
        <v>Bajra</v>
      </c>
      <c r="B15" s="140"/>
      <c r="C15" s="188">
        <f>'10.Grain Production details'!B98</f>
        <v>0</v>
      </c>
      <c r="D15" s="188">
        <f>'10.Grain Production details'!C98</f>
        <v>0</v>
      </c>
      <c r="E15" s="188">
        <f>'10.Grain Production details'!D98</f>
        <v>0</v>
      </c>
      <c r="F15" s="188">
        <f>'10.Grain Production details'!E98</f>
        <v>0</v>
      </c>
      <c r="G15" s="188">
        <f>'10.Grain Production details'!F98</f>
        <v>0</v>
      </c>
      <c r="H15" s="188">
        <f>'10.Grain Production details'!G98</f>
        <v>0</v>
      </c>
      <c r="I15" s="188">
        <f>'10.Grain Production details'!H98</f>
        <v>0</v>
      </c>
    </row>
    <row r="16" spans="1:9">
      <c r="A16" s="63" t="str">
        <f>'10.Grain Production details'!A99</f>
        <v>Jawar</v>
      </c>
      <c r="B16" s="140"/>
      <c r="C16" s="188">
        <f>'10.Grain Production details'!B99</f>
        <v>0</v>
      </c>
      <c r="D16" s="188">
        <f>'10.Grain Production details'!C99</f>
        <v>0</v>
      </c>
      <c r="E16" s="188">
        <f>'10.Grain Production details'!D99</f>
        <v>0</v>
      </c>
      <c r="F16" s="188">
        <f>'10.Grain Production details'!E99</f>
        <v>0</v>
      </c>
      <c r="G16" s="188">
        <f>'10.Grain Production details'!F99</f>
        <v>0</v>
      </c>
      <c r="H16" s="188">
        <f>'10.Grain Production details'!G99</f>
        <v>0</v>
      </c>
      <c r="I16" s="188">
        <f>'10.Grain Production details'!H99</f>
        <v>0</v>
      </c>
    </row>
    <row r="17" spans="1:9">
      <c r="A17" s="65" t="s">
        <v>177</v>
      </c>
      <c r="B17" s="140"/>
      <c r="C17" s="188"/>
      <c r="D17" s="188"/>
      <c r="E17" s="188"/>
      <c r="F17" s="188"/>
      <c r="G17" s="188"/>
      <c r="H17" s="188"/>
      <c r="I17" s="188"/>
    </row>
    <row r="18" spans="1:9">
      <c r="A18" s="63">
        <f>'10.Grain Production details'!A101</f>
        <v>0</v>
      </c>
      <c r="B18" s="140"/>
      <c r="C18" s="188">
        <f>'10.Grain Production details'!B101</f>
        <v>0</v>
      </c>
      <c r="D18" s="188">
        <f>'10.Grain Production details'!C101</f>
        <v>0</v>
      </c>
      <c r="E18" s="188">
        <f>'10.Grain Production details'!D101</f>
        <v>0</v>
      </c>
      <c r="F18" s="188">
        <f>'10.Grain Production details'!E101</f>
        <v>0</v>
      </c>
      <c r="G18" s="188">
        <f>'10.Grain Production details'!F101</f>
        <v>0</v>
      </c>
      <c r="H18" s="188">
        <f>'10.Grain Production details'!G101</f>
        <v>0</v>
      </c>
      <c r="I18" s="188">
        <f>'10.Grain Production details'!H101</f>
        <v>0</v>
      </c>
    </row>
    <row r="19" spans="1:9">
      <c r="A19" s="63">
        <f>'10.Grain Production details'!A102</f>
        <v>0</v>
      </c>
      <c r="B19" s="140"/>
      <c r="C19" s="188">
        <f>'10.Grain Production details'!B102</f>
        <v>0</v>
      </c>
      <c r="D19" s="188">
        <f>'10.Grain Production details'!C102</f>
        <v>0</v>
      </c>
      <c r="E19" s="188">
        <f>'10.Grain Production details'!D102</f>
        <v>0</v>
      </c>
      <c r="F19" s="188">
        <f>'10.Grain Production details'!E102</f>
        <v>0</v>
      </c>
      <c r="G19" s="188">
        <f>'10.Grain Production details'!F102</f>
        <v>0</v>
      </c>
      <c r="H19" s="188">
        <f>'10.Grain Production details'!G102</f>
        <v>0</v>
      </c>
      <c r="I19" s="188">
        <f>'10.Grain Production details'!H102</f>
        <v>0</v>
      </c>
    </row>
    <row r="20" spans="1:9">
      <c r="A20" s="63">
        <f>'10.Grain Production details'!A103</f>
        <v>0</v>
      </c>
      <c r="B20" s="140"/>
      <c r="C20" s="188">
        <f>'10.Grain Production details'!B103</f>
        <v>0</v>
      </c>
      <c r="D20" s="188">
        <f>'10.Grain Production details'!C103</f>
        <v>0</v>
      </c>
      <c r="E20" s="188">
        <f>'10.Grain Production details'!D103</f>
        <v>0</v>
      </c>
      <c r="F20" s="188">
        <f>'10.Grain Production details'!E103</f>
        <v>0</v>
      </c>
      <c r="G20" s="188">
        <f>'10.Grain Production details'!F103</f>
        <v>0</v>
      </c>
      <c r="H20" s="188">
        <f>'10.Grain Production details'!G103</f>
        <v>0</v>
      </c>
      <c r="I20" s="188">
        <f>'10.Grain Production details'!H103</f>
        <v>0</v>
      </c>
    </row>
    <row r="21" spans="1:9">
      <c r="A21" s="63">
        <f>'10.Grain Production details'!A104</f>
        <v>0</v>
      </c>
      <c r="B21" s="140"/>
      <c r="C21" s="188">
        <f>'10.Grain Production details'!B104</f>
        <v>0</v>
      </c>
      <c r="D21" s="188">
        <f>'10.Grain Production details'!C104</f>
        <v>0</v>
      </c>
      <c r="E21" s="188">
        <f>'10.Grain Production details'!D104</f>
        <v>0</v>
      </c>
      <c r="F21" s="188">
        <f>'10.Grain Production details'!E104</f>
        <v>0</v>
      </c>
      <c r="G21" s="188">
        <f>'10.Grain Production details'!F104</f>
        <v>0</v>
      </c>
      <c r="H21" s="188">
        <f>'10.Grain Production details'!G104</f>
        <v>0</v>
      </c>
      <c r="I21" s="188">
        <f>'10.Grain Production details'!H104</f>
        <v>0</v>
      </c>
    </row>
    <row r="22" spans="1:9">
      <c r="A22" s="63">
        <f>'10.Grain Production details'!A105</f>
        <v>0</v>
      </c>
      <c r="B22" s="140"/>
      <c r="C22" s="188">
        <f>'10.Grain Production details'!B105</f>
        <v>0</v>
      </c>
      <c r="D22" s="188">
        <f>'10.Grain Production details'!C105</f>
        <v>0</v>
      </c>
      <c r="E22" s="188">
        <f>'10.Grain Production details'!D105</f>
        <v>0</v>
      </c>
      <c r="F22" s="188">
        <f>'10.Grain Production details'!E105</f>
        <v>0</v>
      </c>
      <c r="G22" s="188">
        <f>'10.Grain Production details'!F105</f>
        <v>0</v>
      </c>
      <c r="H22" s="188">
        <f>'10.Grain Production details'!G105</f>
        <v>0</v>
      </c>
      <c r="I22" s="188">
        <f>'10.Grain Production details'!H105</f>
        <v>0</v>
      </c>
    </row>
    <row r="23" spans="1:9">
      <c r="A23" s="63">
        <f>'10.Grain Production details'!A106</f>
        <v>0</v>
      </c>
      <c r="B23" s="140"/>
      <c r="C23" s="188">
        <f>'10.Grain Production details'!B106</f>
        <v>0</v>
      </c>
      <c r="D23" s="188">
        <f>'10.Grain Production details'!C106</f>
        <v>0</v>
      </c>
      <c r="E23" s="188">
        <f>'10.Grain Production details'!D106</f>
        <v>0</v>
      </c>
      <c r="F23" s="188">
        <f>'10.Grain Production details'!E106</f>
        <v>0</v>
      </c>
      <c r="G23" s="188">
        <f>'10.Grain Production details'!F106</f>
        <v>0</v>
      </c>
      <c r="H23" s="188">
        <f>'10.Grain Production details'!G106</f>
        <v>0</v>
      </c>
      <c r="I23" s="188">
        <f>'10.Grain Production details'!H106</f>
        <v>0</v>
      </c>
    </row>
    <row r="24" spans="1:9">
      <c r="A24" s="63">
        <f>'10.Grain Production details'!A107</f>
        <v>0</v>
      </c>
      <c r="B24" s="140"/>
      <c r="C24" s="188">
        <f>'10.Grain Production details'!B107</f>
        <v>0</v>
      </c>
      <c r="D24" s="188">
        <f>'10.Grain Production details'!C107</f>
        <v>0</v>
      </c>
      <c r="E24" s="188">
        <f>'10.Grain Production details'!D107</f>
        <v>0</v>
      </c>
      <c r="F24" s="188">
        <f>'10.Grain Production details'!E107</f>
        <v>0</v>
      </c>
      <c r="G24" s="188">
        <f>'10.Grain Production details'!F107</f>
        <v>0</v>
      </c>
      <c r="H24" s="188">
        <f>'10.Grain Production details'!G107</f>
        <v>0</v>
      </c>
      <c r="I24" s="188">
        <f>'10.Grain Production details'!H107</f>
        <v>0</v>
      </c>
    </row>
    <row r="25" spans="1:9">
      <c r="A25" s="63">
        <f>'10.Grain Production details'!A108</f>
        <v>0</v>
      </c>
      <c r="B25" s="140"/>
      <c r="C25" s="188">
        <f>'10.Grain Production details'!B108</f>
        <v>0</v>
      </c>
      <c r="D25" s="188">
        <f>'10.Grain Production details'!C108</f>
        <v>0</v>
      </c>
      <c r="E25" s="188">
        <f>'10.Grain Production details'!D108</f>
        <v>0</v>
      </c>
      <c r="F25" s="188">
        <f>'10.Grain Production details'!E108</f>
        <v>0</v>
      </c>
      <c r="G25" s="188">
        <f>'10.Grain Production details'!F108</f>
        <v>0</v>
      </c>
      <c r="H25" s="188">
        <f>'10.Grain Production details'!G108</f>
        <v>0</v>
      </c>
      <c r="I25" s="188">
        <f>'10.Grain Production details'!H108</f>
        <v>0</v>
      </c>
    </row>
    <row r="26" spans="1:9">
      <c r="A26" s="65" t="str">
        <f>'10.Grain Production details'!A33</f>
        <v>Summer</v>
      </c>
      <c r="B26" s="140"/>
      <c r="C26" s="188"/>
      <c r="D26" s="188"/>
      <c r="E26" s="188"/>
      <c r="F26" s="188"/>
      <c r="G26" s="188"/>
      <c r="H26" s="188"/>
      <c r="I26" s="188"/>
    </row>
    <row r="27" spans="1:9">
      <c r="A27" s="63" t="str">
        <f>'10.Grain Production details'!A109</f>
        <v>Groundnut</v>
      </c>
      <c r="B27" s="140"/>
      <c r="C27" s="188">
        <f>'10.Grain Production details'!B110</f>
        <v>0</v>
      </c>
      <c r="D27" s="188">
        <f>'10.Grain Production details'!C110</f>
        <v>0</v>
      </c>
      <c r="E27" s="188">
        <f>'10.Grain Production details'!D110</f>
        <v>0</v>
      </c>
      <c r="F27" s="188">
        <f>'10.Grain Production details'!E110</f>
        <v>0</v>
      </c>
      <c r="G27" s="188">
        <f>'10.Grain Production details'!F110</f>
        <v>0</v>
      </c>
      <c r="H27" s="188">
        <f>'10.Grain Production details'!G110</f>
        <v>0</v>
      </c>
      <c r="I27" s="188">
        <f>'10.Grain Production details'!H110</f>
        <v>0</v>
      </c>
    </row>
    <row r="28" spans="1:9">
      <c r="A28" s="63">
        <f>'10.Grain Production details'!A110</f>
        <v>0</v>
      </c>
      <c r="B28" s="140"/>
      <c r="C28" s="188">
        <f>'10.Grain Production details'!B111</f>
        <v>0</v>
      </c>
      <c r="D28" s="188">
        <f>'10.Grain Production details'!C111</f>
        <v>0</v>
      </c>
      <c r="E28" s="188">
        <f>'10.Grain Production details'!D111</f>
        <v>0</v>
      </c>
      <c r="F28" s="188">
        <f>'10.Grain Production details'!E111</f>
        <v>0</v>
      </c>
      <c r="G28" s="188">
        <f>'10.Grain Production details'!F111</f>
        <v>0</v>
      </c>
      <c r="H28" s="188">
        <f>'10.Grain Production details'!G111</f>
        <v>0</v>
      </c>
      <c r="I28" s="188">
        <f>'10.Grain Production details'!H111</f>
        <v>0</v>
      </c>
    </row>
    <row r="29" spans="1:9">
      <c r="A29" s="63">
        <f>'10.Grain Production details'!A111</f>
        <v>0</v>
      </c>
      <c r="B29" s="140"/>
      <c r="C29" s="188">
        <f>'10.Grain Production details'!B112</f>
        <v>0</v>
      </c>
      <c r="D29" s="188">
        <f>'10.Grain Production details'!C112</f>
        <v>0</v>
      </c>
      <c r="E29" s="188">
        <f>'10.Grain Production details'!D112</f>
        <v>0</v>
      </c>
      <c r="F29" s="188">
        <f>'10.Grain Production details'!E112</f>
        <v>0</v>
      </c>
      <c r="G29" s="188">
        <f>'10.Grain Production details'!F112</f>
        <v>0</v>
      </c>
      <c r="H29" s="188">
        <f>'10.Grain Production details'!G112</f>
        <v>0</v>
      </c>
      <c r="I29" s="188">
        <f>'10.Grain Production details'!H112</f>
        <v>0</v>
      </c>
    </row>
    <row r="30" spans="1:9">
      <c r="A30" s="63">
        <f>'10.Grain Production details'!A112</f>
        <v>0</v>
      </c>
      <c r="B30" s="140"/>
      <c r="C30" s="188">
        <f>'10.Grain Production details'!B113</f>
        <v>0</v>
      </c>
      <c r="D30" s="188">
        <f>'10.Grain Production details'!C113</f>
        <v>0</v>
      </c>
      <c r="E30" s="188">
        <f>'10.Grain Production details'!D113</f>
        <v>0</v>
      </c>
      <c r="F30" s="188">
        <f>'10.Grain Production details'!E113</f>
        <v>0</v>
      </c>
      <c r="G30" s="188">
        <f>'10.Grain Production details'!F113</f>
        <v>0</v>
      </c>
      <c r="H30" s="188">
        <f>'10.Grain Production details'!G113</f>
        <v>0</v>
      </c>
      <c r="I30" s="188">
        <f>'10.Grain Production details'!H113</f>
        <v>0</v>
      </c>
    </row>
    <row r="31" spans="1:9">
      <c r="A31" s="63">
        <f>'10.Grain Production details'!A113</f>
        <v>0</v>
      </c>
      <c r="B31" s="140"/>
      <c r="C31" s="188">
        <f>'10.Grain Production details'!C114</f>
        <v>0</v>
      </c>
      <c r="D31" s="188">
        <f>'10.Grain Production details'!D114</f>
        <v>0</v>
      </c>
      <c r="E31" s="188">
        <f>'10.Grain Production details'!E114</f>
        <v>0</v>
      </c>
      <c r="F31" s="188">
        <f>'10.Grain Production details'!F114</f>
        <v>0</v>
      </c>
      <c r="G31" s="188">
        <f>'10.Grain Production details'!G114</f>
        <v>0</v>
      </c>
      <c r="H31" s="188">
        <f>'10.Grain Production details'!H114</f>
        <v>0</v>
      </c>
      <c r="I31" s="188">
        <f>'10.Grain Production details'!I114</f>
        <v>0</v>
      </c>
    </row>
    <row r="32" spans="1:9">
      <c r="A32" s="65" t="str">
        <f>'11.F&amp;V Crop Production details'!A1:H1</f>
        <v>Grain Crop Production Details</v>
      </c>
      <c r="B32" s="140"/>
      <c r="C32" s="188"/>
      <c r="D32" s="188"/>
      <c r="E32" s="188"/>
      <c r="F32" s="188"/>
      <c r="G32" s="188"/>
      <c r="H32" s="188"/>
      <c r="I32" s="188"/>
    </row>
    <row r="33" spans="1:9">
      <c r="A33" s="63">
        <f>'11.F&amp;V Crop Production details'!A44</f>
        <v>0</v>
      </c>
      <c r="B33" s="140"/>
      <c r="C33" s="188">
        <f>'11.F&amp;V Crop Production details'!B44</f>
        <v>0</v>
      </c>
      <c r="D33" s="188">
        <f>'11.F&amp;V Crop Production details'!C44</f>
        <v>0</v>
      </c>
      <c r="E33" s="188">
        <f>'11.F&amp;V Crop Production details'!D44</f>
        <v>0</v>
      </c>
      <c r="F33" s="188">
        <f>'11.F&amp;V Crop Production details'!E44</f>
        <v>0</v>
      </c>
      <c r="G33" s="188">
        <f>'11.F&amp;V Crop Production details'!F44</f>
        <v>0</v>
      </c>
      <c r="H33" s="188">
        <f>'11.F&amp;V Crop Production details'!G44</f>
        <v>0</v>
      </c>
      <c r="I33" s="188">
        <f>'11.F&amp;V Crop Production details'!H44</f>
        <v>0</v>
      </c>
    </row>
    <row r="34" spans="1:9">
      <c r="A34" s="63" t="e">
        <f>'11.F&amp;V Crop Production details'!#REF!</f>
        <v>#REF!</v>
      </c>
      <c r="B34" s="140"/>
      <c r="C34" s="188" t="e">
        <f>'11.F&amp;V Crop Production details'!#REF!</f>
        <v>#REF!</v>
      </c>
      <c r="D34" s="188" t="e">
        <f>'11.F&amp;V Crop Production details'!#REF!</f>
        <v>#REF!</v>
      </c>
      <c r="E34" s="188" t="e">
        <f>'11.F&amp;V Crop Production details'!#REF!</f>
        <v>#REF!</v>
      </c>
      <c r="F34" s="188" t="e">
        <f>'11.F&amp;V Crop Production details'!#REF!</f>
        <v>#REF!</v>
      </c>
      <c r="G34" s="188" t="e">
        <f>'11.F&amp;V Crop Production details'!#REF!</f>
        <v>#REF!</v>
      </c>
      <c r="H34" s="188" t="e">
        <f>'11.F&amp;V Crop Production details'!#REF!</f>
        <v>#REF!</v>
      </c>
      <c r="I34" s="188" t="e">
        <f>'11.F&amp;V Crop Production details'!#REF!</f>
        <v>#REF!</v>
      </c>
    </row>
    <row r="35" spans="1:9">
      <c r="A35" s="63" t="e">
        <f>'11.F&amp;V Crop Production details'!#REF!</f>
        <v>#REF!</v>
      </c>
      <c r="B35" s="140"/>
      <c r="C35" s="188" t="e">
        <f>'11.F&amp;V Crop Production details'!#REF!</f>
        <v>#REF!</v>
      </c>
      <c r="D35" s="188" t="e">
        <f>'11.F&amp;V Crop Production details'!#REF!</f>
        <v>#REF!</v>
      </c>
      <c r="E35" s="188" t="e">
        <f>'11.F&amp;V Crop Production details'!#REF!</f>
        <v>#REF!</v>
      </c>
      <c r="F35" s="188" t="e">
        <f>'11.F&amp;V Crop Production details'!#REF!</f>
        <v>#REF!</v>
      </c>
      <c r="G35" s="188" t="e">
        <f>'11.F&amp;V Crop Production details'!#REF!</f>
        <v>#REF!</v>
      </c>
      <c r="H35" s="188" t="e">
        <f>'11.F&amp;V Crop Production details'!#REF!</f>
        <v>#REF!</v>
      </c>
      <c r="I35" s="188" t="e">
        <f>'11.F&amp;V Crop Production details'!#REF!</f>
        <v>#REF!</v>
      </c>
    </row>
    <row r="36" spans="1:9">
      <c r="A36" s="63" t="str">
        <f>'11.F&amp;V Crop Production details'!A45</f>
        <v>-</v>
      </c>
      <c r="B36" s="140"/>
      <c r="C36" s="188">
        <f>'11.F&amp;V Crop Production details'!B45</f>
        <v>0</v>
      </c>
      <c r="D36" s="188">
        <f>'11.F&amp;V Crop Production details'!C45</f>
        <v>0</v>
      </c>
      <c r="E36" s="188">
        <f>'11.F&amp;V Crop Production details'!D45</f>
        <v>0</v>
      </c>
      <c r="F36" s="188">
        <f>'11.F&amp;V Crop Production details'!E45</f>
        <v>0</v>
      </c>
      <c r="G36" s="188">
        <f>'11.F&amp;V Crop Production details'!F45</f>
        <v>0</v>
      </c>
      <c r="H36" s="188">
        <f>'11.F&amp;V Crop Production details'!G45</f>
        <v>0</v>
      </c>
      <c r="I36" s="188">
        <f>'11.F&amp;V Crop Production details'!H45</f>
        <v>0</v>
      </c>
    </row>
    <row r="37" spans="1:9">
      <c r="A37" s="63" t="e">
        <f>'11.F&amp;V Crop Production details'!#REF!</f>
        <v>#REF!</v>
      </c>
      <c r="B37" s="140"/>
      <c r="C37" s="188" t="e">
        <f>'11.F&amp;V Crop Production details'!#REF!</f>
        <v>#REF!</v>
      </c>
      <c r="D37" s="188" t="e">
        <f>'11.F&amp;V Crop Production details'!#REF!</f>
        <v>#REF!</v>
      </c>
      <c r="E37" s="188" t="e">
        <f>'11.F&amp;V Crop Production details'!#REF!</f>
        <v>#REF!</v>
      </c>
      <c r="F37" s="188" t="e">
        <f>'11.F&amp;V Crop Production details'!#REF!</f>
        <v>#REF!</v>
      </c>
      <c r="G37" s="188" t="e">
        <f>'11.F&amp;V Crop Production details'!#REF!</f>
        <v>#REF!</v>
      </c>
      <c r="H37" s="188" t="e">
        <f>'11.F&amp;V Crop Production details'!#REF!</f>
        <v>#REF!</v>
      </c>
      <c r="I37" s="188" t="e">
        <f>'11.F&amp;V Crop Production details'!#REF!</f>
        <v>#REF!</v>
      </c>
    </row>
    <row r="38" spans="1:9">
      <c r="A38" s="63" t="e">
        <f>'11.F&amp;V Crop Production details'!#REF!</f>
        <v>#REF!</v>
      </c>
      <c r="B38" s="140"/>
      <c r="C38" s="188" t="e">
        <f>'11.F&amp;V Crop Production details'!#REF!</f>
        <v>#REF!</v>
      </c>
      <c r="D38" s="188" t="e">
        <f>'11.F&amp;V Crop Production details'!#REF!</f>
        <v>#REF!</v>
      </c>
      <c r="E38" s="188" t="e">
        <f>'11.F&amp;V Crop Production details'!#REF!</f>
        <v>#REF!</v>
      </c>
      <c r="F38" s="188" t="e">
        <f>'11.F&amp;V Crop Production details'!#REF!</f>
        <v>#REF!</v>
      </c>
      <c r="G38" s="188" t="e">
        <f>'11.F&amp;V Crop Production details'!#REF!</f>
        <v>#REF!</v>
      </c>
      <c r="H38" s="188" t="e">
        <f>'11.F&amp;V Crop Production details'!#REF!</f>
        <v>#REF!</v>
      </c>
      <c r="I38" s="188" t="e">
        <f>'11.F&amp;V Crop Production details'!#REF!</f>
        <v>#REF!</v>
      </c>
    </row>
    <row r="39" spans="1:9">
      <c r="A39" s="63" t="e">
        <f>'11.F&amp;V Crop Production details'!#REF!</f>
        <v>#REF!</v>
      </c>
      <c r="B39" s="140"/>
      <c r="C39" s="188" t="e">
        <f>'11.F&amp;V Crop Production details'!#REF!</f>
        <v>#REF!</v>
      </c>
      <c r="D39" s="188" t="e">
        <f>'11.F&amp;V Crop Production details'!#REF!</f>
        <v>#REF!</v>
      </c>
      <c r="E39" s="188" t="e">
        <f>'11.F&amp;V Crop Production details'!#REF!</f>
        <v>#REF!</v>
      </c>
      <c r="F39" s="188" t="e">
        <f>'11.F&amp;V Crop Production details'!#REF!</f>
        <v>#REF!</v>
      </c>
      <c r="G39" s="188" t="e">
        <f>'11.F&amp;V Crop Production details'!#REF!</f>
        <v>#REF!</v>
      </c>
      <c r="H39" s="188" t="e">
        <f>'11.F&amp;V Crop Production details'!#REF!</f>
        <v>#REF!</v>
      </c>
      <c r="I39" s="188" t="e">
        <f>'11.F&amp;V Crop Production details'!#REF!</f>
        <v>#REF!</v>
      </c>
    </row>
    <row r="40" spans="1:9">
      <c r="A40" s="63" t="e">
        <f>'11.F&amp;V Crop Production details'!#REF!</f>
        <v>#REF!</v>
      </c>
      <c r="B40" s="140"/>
      <c r="C40" s="188" t="e">
        <f>'11.F&amp;V Crop Production details'!#REF!</f>
        <v>#REF!</v>
      </c>
      <c r="D40" s="188" t="e">
        <f>'11.F&amp;V Crop Production details'!#REF!</f>
        <v>#REF!</v>
      </c>
      <c r="E40" s="188" t="e">
        <f>'11.F&amp;V Crop Production details'!#REF!</f>
        <v>#REF!</v>
      </c>
      <c r="F40" s="188" t="e">
        <f>'11.F&amp;V Crop Production details'!#REF!</f>
        <v>#REF!</v>
      </c>
      <c r="G40" s="188" t="e">
        <f>'11.F&amp;V Crop Production details'!#REF!</f>
        <v>#REF!</v>
      </c>
      <c r="H40" s="188" t="e">
        <f>'11.F&amp;V Crop Production details'!#REF!</f>
        <v>#REF!</v>
      </c>
      <c r="I40" s="188" t="e">
        <f>'11.F&amp;V Crop Production details'!#REF!</f>
        <v>#REF!</v>
      </c>
    </row>
    <row r="41" spans="1:9">
      <c r="A41" s="63" t="e">
        <f>'11.F&amp;V Crop Production details'!#REF!</f>
        <v>#REF!</v>
      </c>
      <c r="B41" s="140"/>
      <c r="C41" s="188" t="e">
        <f>'11.F&amp;V Crop Production details'!#REF!</f>
        <v>#REF!</v>
      </c>
      <c r="D41" s="188" t="e">
        <f>'11.F&amp;V Crop Production details'!#REF!</f>
        <v>#REF!</v>
      </c>
      <c r="E41" s="188" t="e">
        <f>'11.F&amp;V Crop Production details'!#REF!</f>
        <v>#REF!</v>
      </c>
      <c r="F41" s="188" t="e">
        <f>'11.F&amp;V Crop Production details'!#REF!</f>
        <v>#REF!</v>
      </c>
      <c r="G41" s="188" t="e">
        <f>'11.F&amp;V Crop Production details'!#REF!</f>
        <v>#REF!</v>
      </c>
      <c r="H41" s="188" t="e">
        <f>'11.F&amp;V Crop Production details'!#REF!</f>
        <v>#REF!</v>
      </c>
      <c r="I41" s="188" t="e">
        <f>'11.F&amp;V Crop Production details'!#REF!</f>
        <v>#REF!</v>
      </c>
    </row>
    <row r="42" spans="1:9">
      <c r="A42" s="63" t="e">
        <f>'11.F&amp;V Crop Production details'!#REF!</f>
        <v>#REF!</v>
      </c>
      <c r="B42" s="140"/>
      <c r="C42" s="188" t="e">
        <f>'11.F&amp;V Crop Production details'!#REF!</f>
        <v>#REF!</v>
      </c>
      <c r="D42" s="188" t="e">
        <f>'11.F&amp;V Crop Production details'!#REF!</f>
        <v>#REF!</v>
      </c>
      <c r="E42" s="188" t="e">
        <f>'11.F&amp;V Crop Production details'!#REF!</f>
        <v>#REF!</v>
      </c>
      <c r="F42" s="188" t="e">
        <f>'11.F&amp;V Crop Production details'!#REF!</f>
        <v>#REF!</v>
      </c>
      <c r="G42" s="188" t="e">
        <f>'11.F&amp;V Crop Production details'!#REF!</f>
        <v>#REF!</v>
      </c>
      <c r="H42" s="188" t="e">
        <f>'11.F&amp;V Crop Production details'!#REF!</f>
        <v>#REF!</v>
      </c>
      <c r="I42" s="188" t="e">
        <f>'11.F&amp;V Crop Production details'!#REF!</f>
        <v>#REF!</v>
      </c>
    </row>
    <row r="43" spans="1:9">
      <c r="A43" s="63" t="e">
        <f>'11.F&amp;V Crop Production details'!#REF!</f>
        <v>#REF!</v>
      </c>
      <c r="B43" s="140"/>
      <c r="C43" s="188" t="e">
        <f>'11.F&amp;V Crop Production details'!#REF!</f>
        <v>#REF!</v>
      </c>
      <c r="D43" s="188" t="e">
        <f>'11.F&amp;V Crop Production details'!#REF!</f>
        <v>#REF!</v>
      </c>
      <c r="E43" s="188" t="e">
        <f>'11.F&amp;V Crop Production details'!#REF!</f>
        <v>#REF!</v>
      </c>
      <c r="F43" s="188" t="e">
        <f>'11.F&amp;V Crop Production details'!#REF!</f>
        <v>#REF!</v>
      </c>
      <c r="G43" s="188" t="e">
        <f>'11.F&amp;V Crop Production details'!#REF!</f>
        <v>#REF!</v>
      </c>
      <c r="H43" s="188" t="e">
        <f>'11.F&amp;V Crop Production details'!#REF!</f>
        <v>#REF!</v>
      </c>
      <c r="I43" s="188" t="e">
        <f>'11.F&amp;V Crop Production details'!#REF!</f>
        <v>#REF!</v>
      </c>
    </row>
    <row r="44" spans="1:9">
      <c r="A44" s="63" t="e">
        <f>'11.F&amp;V Crop Production details'!#REF!</f>
        <v>#REF!</v>
      </c>
      <c r="B44" s="140"/>
      <c r="C44" s="188" t="e">
        <f>'11.F&amp;V Crop Production details'!#REF!</f>
        <v>#REF!</v>
      </c>
      <c r="D44" s="188" t="e">
        <f>'11.F&amp;V Crop Production details'!#REF!</f>
        <v>#REF!</v>
      </c>
      <c r="E44" s="188" t="e">
        <f>'11.F&amp;V Crop Production details'!#REF!</f>
        <v>#REF!</v>
      </c>
      <c r="F44" s="188" t="e">
        <f>'11.F&amp;V Crop Production details'!#REF!</f>
        <v>#REF!</v>
      </c>
      <c r="G44" s="188" t="e">
        <f>'11.F&amp;V Crop Production details'!#REF!</f>
        <v>#REF!</v>
      </c>
      <c r="H44" s="188" t="e">
        <f>'11.F&amp;V Crop Production details'!#REF!</f>
        <v>#REF!</v>
      </c>
      <c r="I44" s="188" t="e">
        <f>'11.F&amp;V Crop Production details'!#REF!</f>
        <v>#REF!</v>
      </c>
    </row>
    <row r="45" spans="1:9">
      <c r="A45" s="63" t="e">
        <f>'11.F&amp;V Crop Production details'!#REF!</f>
        <v>#REF!</v>
      </c>
      <c r="B45" s="140"/>
      <c r="C45" s="188" t="e">
        <f>'11.F&amp;V Crop Production details'!#REF!</f>
        <v>#REF!</v>
      </c>
      <c r="D45" s="188" t="e">
        <f>'11.F&amp;V Crop Production details'!#REF!</f>
        <v>#REF!</v>
      </c>
      <c r="E45" s="188" t="e">
        <f>'11.F&amp;V Crop Production details'!#REF!</f>
        <v>#REF!</v>
      </c>
      <c r="F45" s="188" t="e">
        <f>'11.F&amp;V Crop Production details'!#REF!</f>
        <v>#REF!</v>
      </c>
      <c r="G45" s="188" t="e">
        <f>'11.F&amp;V Crop Production details'!#REF!</f>
        <v>#REF!</v>
      </c>
      <c r="H45" s="188" t="e">
        <f>'11.F&amp;V Crop Production details'!#REF!</f>
        <v>#REF!</v>
      </c>
      <c r="I45" s="188" t="e">
        <f>'11.F&amp;V Crop Production details'!#REF!</f>
        <v>#REF!</v>
      </c>
    </row>
    <row r="46" spans="1:9">
      <c r="A46" s="63" t="e">
        <f>'11.F&amp;V Crop Production details'!#REF!</f>
        <v>#REF!</v>
      </c>
      <c r="B46" s="140"/>
      <c r="C46" s="188" t="e">
        <f>'11.F&amp;V Crop Production details'!#REF!</f>
        <v>#REF!</v>
      </c>
      <c r="D46" s="188" t="e">
        <f>'11.F&amp;V Crop Production details'!#REF!</f>
        <v>#REF!</v>
      </c>
      <c r="E46" s="188" t="e">
        <f>'11.F&amp;V Crop Production details'!#REF!</f>
        <v>#REF!</v>
      </c>
      <c r="F46" s="188" t="e">
        <f>'11.F&amp;V Crop Production details'!#REF!</f>
        <v>#REF!</v>
      </c>
      <c r="G46" s="188" t="e">
        <f>'11.F&amp;V Crop Production details'!#REF!</f>
        <v>#REF!</v>
      </c>
      <c r="H46" s="188" t="e">
        <f>'11.F&amp;V Crop Production details'!#REF!</f>
        <v>#REF!</v>
      </c>
      <c r="I46" s="188" t="e">
        <f>'11.F&amp;V Crop Production details'!#REF!</f>
        <v>#REF!</v>
      </c>
    </row>
    <row r="47" spans="1:9">
      <c r="A47" s="63" t="e">
        <f>'11.F&amp;V Crop Production details'!#REF!</f>
        <v>#REF!</v>
      </c>
      <c r="B47" s="140"/>
      <c r="C47" s="188" t="e">
        <f>'11.F&amp;V Crop Production details'!#REF!</f>
        <v>#REF!</v>
      </c>
      <c r="D47" s="188" t="e">
        <f>'11.F&amp;V Crop Production details'!#REF!</f>
        <v>#REF!</v>
      </c>
      <c r="E47" s="188" t="e">
        <f>'11.F&amp;V Crop Production details'!#REF!</f>
        <v>#REF!</v>
      </c>
      <c r="F47" s="188" t="e">
        <f>'11.F&amp;V Crop Production details'!#REF!</f>
        <v>#REF!</v>
      </c>
      <c r="G47" s="188" t="e">
        <f>'11.F&amp;V Crop Production details'!#REF!</f>
        <v>#REF!</v>
      </c>
      <c r="H47" s="188" t="e">
        <f>'11.F&amp;V Crop Production details'!#REF!</f>
        <v>#REF!</v>
      </c>
      <c r="I47" s="188" t="e">
        <f>'11.F&amp;V Crop Production details'!#REF!</f>
        <v>#REF!</v>
      </c>
    </row>
    <row r="48" spans="1:9">
      <c r="A48" s="63" t="e">
        <f>'11.F&amp;V Crop Production details'!#REF!</f>
        <v>#REF!</v>
      </c>
      <c r="B48" s="140"/>
      <c r="C48" s="188" t="e">
        <f>'11.F&amp;V Crop Production details'!#REF!</f>
        <v>#REF!</v>
      </c>
      <c r="D48" s="188" t="e">
        <f>'11.F&amp;V Crop Production details'!#REF!</f>
        <v>#REF!</v>
      </c>
      <c r="E48" s="188" t="e">
        <f>'11.F&amp;V Crop Production details'!#REF!</f>
        <v>#REF!</v>
      </c>
      <c r="F48" s="188" t="e">
        <f>'11.F&amp;V Crop Production details'!#REF!</f>
        <v>#REF!</v>
      </c>
      <c r="G48" s="188" t="e">
        <f>'11.F&amp;V Crop Production details'!#REF!</f>
        <v>#REF!</v>
      </c>
      <c r="H48" s="188" t="e">
        <f>'11.F&amp;V Crop Production details'!#REF!</f>
        <v>#REF!</v>
      </c>
      <c r="I48" s="188" t="e">
        <f>'11.F&amp;V Crop Production details'!#REF!</f>
        <v>#REF!</v>
      </c>
    </row>
    <row r="49" spans="1:9">
      <c r="A49" s="63" t="e">
        <f>'11.F&amp;V Crop Production details'!#REF!</f>
        <v>#REF!</v>
      </c>
      <c r="B49" s="140"/>
      <c r="C49" s="188" t="e">
        <f>'11.F&amp;V Crop Production details'!#REF!</f>
        <v>#REF!</v>
      </c>
      <c r="D49" s="188" t="e">
        <f>'11.F&amp;V Crop Production details'!#REF!</f>
        <v>#REF!</v>
      </c>
      <c r="E49" s="188" t="e">
        <f>'11.F&amp;V Crop Production details'!#REF!</f>
        <v>#REF!</v>
      </c>
      <c r="F49" s="188" t="e">
        <f>'11.F&amp;V Crop Production details'!#REF!</f>
        <v>#REF!</v>
      </c>
      <c r="G49" s="188" t="e">
        <f>'11.F&amp;V Crop Production details'!#REF!</f>
        <v>#REF!</v>
      </c>
      <c r="H49" s="188" t="e">
        <f>'11.F&amp;V Crop Production details'!#REF!</f>
        <v>#REF!</v>
      </c>
      <c r="I49" s="188" t="e">
        <f>'11.F&amp;V Crop Production details'!#REF!</f>
        <v>#REF!</v>
      </c>
    </row>
    <row r="50" spans="1:9">
      <c r="A50" s="63" t="e">
        <f>'11.F&amp;V Crop Production details'!#REF!</f>
        <v>#REF!</v>
      </c>
      <c r="B50" s="140"/>
      <c r="C50" s="188" t="e">
        <f>'11.F&amp;V Crop Production details'!#REF!</f>
        <v>#REF!</v>
      </c>
      <c r="D50" s="188" t="e">
        <f>'11.F&amp;V Crop Production details'!#REF!</f>
        <v>#REF!</v>
      </c>
      <c r="E50" s="188" t="e">
        <f>'11.F&amp;V Crop Production details'!#REF!</f>
        <v>#REF!</v>
      </c>
      <c r="F50" s="188" t="e">
        <f>'11.F&amp;V Crop Production details'!#REF!</f>
        <v>#REF!</v>
      </c>
      <c r="G50" s="188" t="e">
        <f>'11.F&amp;V Crop Production details'!#REF!</f>
        <v>#REF!</v>
      </c>
      <c r="H50" s="188" t="e">
        <f>'11.F&amp;V Crop Production details'!#REF!</f>
        <v>#REF!</v>
      </c>
      <c r="I50" s="188" t="e">
        <f>'11.F&amp;V Crop Production details'!#REF!</f>
        <v>#REF!</v>
      </c>
    </row>
    <row r="51" spans="1:9">
      <c r="A51" s="63" t="e">
        <f>'11.F&amp;V Crop Production details'!#REF!</f>
        <v>#REF!</v>
      </c>
      <c r="B51" s="140"/>
      <c r="C51" s="188" t="e">
        <f>'11.F&amp;V Crop Production details'!#REF!</f>
        <v>#REF!</v>
      </c>
      <c r="D51" s="188" t="e">
        <f>'11.F&amp;V Crop Production details'!#REF!</f>
        <v>#REF!</v>
      </c>
      <c r="E51" s="188" t="e">
        <f>'11.F&amp;V Crop Production details'!#REF!</f>
        <v>#REF!</v>
      </c>
      <c r="F51" s="188" t="e">
        <f>'11.F&amp;V Crop Production details'!#REF!</f>
        <v>#REF!</v>
      </c>
      <c r="G51" s="188" t="e">
        <f>'11.F&amp;V Crop Production details'!#REF!</f>
        <v>#REF!</v>
      </c>
      <c r="H51" s="188" t="e">
        <f>'11.F&amp;V Crop Production details'!#REF!</f>
        <v>#REF!</v>
      </c>
      <c r="I51" s="188" t="e">
        <f>'11.F&amp;V Crop Production details'!#REF!</f>
        <v>#REF!</v>
      </c>
    </row>
    <row r="52" spans="1:9">
      <c r="A52" s="63" t="e">
        <f>'11.F&amp;V Crop Production details'!#REF!</f>
        <v>#REF!</v>
      </c>
      <c r="B52" s="140"/>
      <c r="C52" s="188" t="e">
        <f>'11.F&amp;V Crop Production details'!#REF!</f>
        <v>#REF!</v>
      </c>
      <c r="D52" s="188" t="e">
        <f>'11.F&amp;V Crop Production details'!#REF!</f>
        <v>#REF!</v>
      </c>
      <c r="E52" s="188" t="e">
        <f>'11.F&amp;V Crop Production details'!#REF!</f>
        <v>#REF!</v>
      </c>
      <c r="F52" s="188" t="e">
        <f>'11.F&amp;V Crop Production details'!#REF!</f>
        <v>#REF!</v>
      </c>
      <c r="G52" s="188" t="e">
        <f>'11.F&amp;V Crop Production details'!#REF!</f>
        <v>#REF!</v>
      </c>
      <c r="H52" s="188" t="e">
        <f>'11.F&amp;V Crop Production details'!#REF!</f>
        <v>#REF!</v>
      </c>
      <c r="I52" s="188" t="e">
        <f>'11.F&amp;V Crop Production details'!#REF!</f>
        <v>#REF!</v>
      </c>
    </row>
    <row r="53" spans="1:9">
      <c r="A53" s="63" t="e">
        <f>'11.F&amp;V Crop Production details'!#REF!</f>
        <v>#REF!</v>
      </c>
      <c r="B53" s="140"/>
      <c r="C53" s="188" t="e">
        <f>'11.F&amp;V Crop Production details'!#REF!</f>
        <v>#REF!</v>
      </c>
      <c r="D53" s="188" t="e">
        <f>'11.F&amp;V Crop Production details'!#REF!</f>
        <v>#REF!</v>
      </c>
      <c r="E53" s="188" t="e">
        <f>'11.F&amp;V Crop Production details'!#REF!</f>
        <v>#REF!</v>
      </c>
      <c r="F53" s="188" t="e">
        <f>'11.F&amp;V Crop Production details'!#REF!</f>
        <v>#REF!</v>
      </c>
      <c r="G53" s="188" t="e">
        <f>'11.F&amp;V Crop Production details'!#REF!</f>
        <v>#REF!</v>
      </c>
      <c r="H53" s="188" t="e">
        <f>'11.F&amp;V Crop Production details'!#REF!</f>
        <v>#REF!</v>
      </c>
      <c r="I53" s="188" t="e">
        <f>'11.F&amp;V Crop Production details'!#REF!</f>
        <v>#REF!</v>
      </c>
    </row>
    <row r="54" spans="1:9">
      <c r="A54" s="63" t="e">
        <f>'11.F&amp;V Crop Production details'!#REF!</f>
        <v>#REF!</v>
      </c>
      <c r="B54" s="140"/>
      <c r="C54" s="188" t="e">
        <f>'11.F&amp;V Crop Production details'!#REF!</f>
        <v>#REF!</v>
      </c>
      <c r="D54" s="188" t="e">
        <f>'11.F&amp;V Crop Production details'!#REF!</f>
        <v>#REF!</v>
      </c>
      <c r="E54" s="188" t="e">
        <f>'11.F&amp;V Crop Production details'!#REF!</f>
        <v>#REF!</v>
      </c>
      <c r="F54" s="188" t="e">
        <f>'11.F&amp;V Crop Production details'!#REF!</f>
        <v>#REF!</v>
      </c>
      <c r="G54" s="188" t="e">
        <f>'11.F&amp;V Crop Production details'!#REF!</f>
        <v>#REF!</v>
      </c>
      <c r="H54" s="188" t="e">
        <f>'11.F&amp;V Crop Production details'!#REF!</f>
        <v>#REF!</v>
      </c>
      <c r="I54" s="188" t="e">
        <f>'11.F&amp;V Crop Production details'!#REF!</f>
        <v>#REF!</v>
      </c>
    </row>
    <row r="55" spans="1:9">
      <c r="A55" s="63" t="e">
        <f>'11.F&amp;V Crop Production details'!#REF!</f>
        <v>#REF!</v>
      </c>
      <c r="B55" s="140"/>
      <c r="C55" s="188" t="e">
        <f>'11.F&amp;V Crop Production details'!#REF!</f>
        <v>#REF!</v>
      </c>
      <c r="D55" s="188" t="e">
        <f>'11.F&amp;V Crop Production details'!#REF!</f>
        <v>#REF!</v>
      </c>
      <c r="E55" s="188" t="e">
        <f>'11.F&amp;V Crop Production details'!#REF!</f>
        <v>#REF!</v>
      </c>
      <c r="F55" s="188" t="e">
        <f>'11.F&amp;V Crop Production details'!#REF!</f>
        <v>#REF!</v>
      </c>
      <c r="G55" s="188" t="e">
        <f>'11.F&amp;V Crop Production details'!#REF!</f>
        <v>#REF!</v>
      </c>
      <c r="H55" s="188" t="e">
        <f>'11.F&amp;V Crop Production details'!#REF!</f>
        <v>#REF!</v>
      </c>
      <c r="I55" s="188" t="e">
        <f>'11.F&amp;V Crop Production details'!#REF!</f>
        <v>#REF!</v>
      </c>
    </row>
    <row r="56" spans="1:9">
      <c r="A56" s="63" t="e">
        <f>'11.F&amp;V Crop Production details'!#REF!</f>
        <v>#REF!</v>
      </c>
      <c r="B56" s="140"/>
      <c r="C56" s="188" t="e">
        <f>'11.F&amp;V Crop Production details'!#REF!</f>
        <v>#REF!</v>
      </c>
      <c r="D56" s="188" t="e">
        <f>'11.F&amp;V Crop Production details'!#REF!</f>
        <v>#REF!</v>
      </c>
      <c r="E56" s="188" t="e">
        <f>'11.F&amp;V Crop Production details'!#REF!</f>
        <v>#REF!</v>
      </c>
      <c r="F56" s="188" t="e">
        <f>'11.F&amp;V Crop Production details'!#REF!</f>
        <v>#REF!</v>
      </c>
      <c r="G56" s="188" t="e">
        <f>'11.F&amp;V Crop Production details'!#REF!</f>
        <v>#REF!</v>
      </c>
      <c r="H56" s="188" t="e">
        <f>'11.F&amp;V Crop Production details'!#REF!</f>
        <v>#REF!</v>
      </c>
      <c r="I56" s="188" t="e">
        <f>'11.F&amp;V Crop Production details'!#REF!</f>
        <v>#REF!</v>
      </c>
    </row>
    <row r="57" spans="1:9">
      <c r="A57" s="63" t="e">
        <f>'11.F&amp;V Crop Production details'!#REF!</f>
        <v>#REF!</v>
      </c>
      <c r="B57" s="140"/>
      <c r="C57" s="188" t="e">
        <f>'11.F&amp;V Crop Production details'!#REF!</f>
        <v>#REF!</v>
      </c>
      <c r="D57" s="188" t="e">
        <f>'11.F&amp;V Crop Production details'!#REF!</f>
        <v>#REF!</v>
      </c>
      <c r="E57" s="188" t="e">
        <f>'11.F&amp;V Crop Production details'!#REF!</f>
        <v>#REF!</v>
      </c>
      <c r="F57" s="188" t="e">
        <f>'11.F&amp;V Crop Production details'!#REF!</f>
        <v>#REF!</v>
      </c>
      <c r="G57" s="188" t="e">
        <f>'11.F&amp;V Crop Production details'!#REF!</f>
        <v>#REF!</v>
      </c>
      <c r="H57" s="188" t="e">
        <f>'11.F&amp;V Crop Production details'!#REF!</f>
        <v>#REF!</v>
      </c>
      <c r="I57" s="188" t="e">
        <f>'11.F&amp;V Crop Production details'!#REF!</f>
        <v>#REF!</v>
      </c>
    </row>
    <row r="58" spans="1:9">
      <c r="A58" s="63"/>
      <c r="B58" s="140"/>
      <c r="C58" s="140"/>
      <c r="D58" s="140"/>
      <c r="E58" s="140"/>
      <c r="F58" s="140"/>
      <c r="G58" s="140"/>
      <c r="H58" s="140"/>
      <c r="I58" s="140"/>
    </row>
    <row r="59" spans="1:9">
      <c r="A59" s="65" t="s">
        <v>178</v>
      </c>
      <c r="B59" s="63"/>
      <c r="C59" s="63"/>
      <c r="D59" s="63"/>
      <c r="E59" s="63"/>
      <c r="F59" s="63"/>
      <c r="G59" s="63"/>
      <c r="H59" s="63"/>
      <c r="I59" s="63"/>
    </row>
    <row r="60" spans="1:9">
      <c r="A60" s="65" t="s">
        <v>179</v>
      </c>
      <c r="B60" s="63"/>
      <c r="C60" s="63"/>
      <c r="D60" s="63"/>
      <c r="E60" s="63"/>
      <c r="F60" s="63"/>
      <c r="G60" s="63"/>
      <c r="H60" s="63"/>
      <c r="I60" s="63"/>
    </row>
    <row r="61" spans="1:9">
      <c r="A61" s="65" t="str">
        <f t="shared" ref="A61:A92" si="0">A8</f>
        <v>Kharif Crops</v>
      </c>
      <c r="B61" s="63"/>
      <c r="C61" s="63"/>
      <c r="D61" s="63"/>
      <c r="E61" s="63"/>
      <c r="F61" s="63"/>
      <c r="G61" s="63"/>
      <c r="H61" s="63"/>
      <c r="I61" s="63"/>
    </row>
    <row r="62" spans="1:9">
      <c r="A62" s="63" t="str">
        <f t="shared" si="0"/>
        <v>Soybean</v>
      </c>
      <c r="B62" s="164">
        <v>40</v>
      </c>
      <c r="C62" s="136">
        <f>$B62*C9</f>
        <v>0</v>
      </c>
      <c r="D62" s="136">
        <f>$B62*D9</f>
        <v>0</v>
      </c>
      <c r="E62" s="136">
        <f t="shared" ref="E62:I62" si="1">$B62*E9</f>
        <v>0</v>
      </c>
      <c r="F62" s="136">
        <f t="shared" si="1"/>
        <v>0</v>
      </c>
      <c r="G62" s="136">
        <f t="shared" si="1"/>
        <v>0</v>
      </c>
      <c r="H62" s="136">
        <f t="shared" si="1"/>
        <v>0</v>
      </c>
      <c r="I62" s="136">
        <f t="shared" si="1"/>
        <v>0</v>
      </c>
    </row>
    <row r="63" spans="1:9">
      <c r="A63" s="63" t="str">
        <f t="shared" si="0"/>
        <v>Red Gram/Tur</v>
      </c>
      <c r="B63" s="164">
        <v>5</v>
      </c>
      <c r="C63" s="136">
        <f>$B63*C10</f>
        <v>0</v>
      </c>
      <c r="D63" s="136">
        <f t="shared" ref="D63:I63" si="2">$B$63*D10</f>
        <v>0</v>
      </c>
      <c r="E63" s="136">
        <f t="shared" si="2"/>
        <v>0</v>
      </c>
      <c r="F63" s="136">
        <f t="shared" si="2"/>
        <v>0</v>
      </c>
      <c r="G63" s="136">
        <f t="shared" si="2"/>
        <v>0</v>
      </c>
      <c r="H63" s="136">
        <f t="shared" si="2"/>
        <v>0</v>
      </c>
      <c r="I63" s="136">
        <f t="shared" si="2"/>
        <v>0</v>
      </c>
    </row>
    <row r="64" spans="1:9">
      <c r="A64" s="63" t="str">
        <f t="shared" si="0"/>
        <v>Paddy/Rice</v>
      </c>
      <c r="B64" s="164">
        <v>15</v>
      </c>
      <c r="C64" s="136">
        <f>$B64*C11</f>
        <v>0</v>
      </c>
      <c r="D64" s="136">
        <f t="shared" ref="D64:I64" si="3">$B$64*D11</f>
        <v>0</v>
      </c>
      <c r="E64" s="136">
        <f t="shared" si="3"/>
        <v>0</v>
      </c>
      <c r="F64" s="136">
        <f t="shared" si="3"/>
        <v>0</v>
      </c>
      <c r="G64" s="136">
        <f t="shared" si="3"/>
        <v>0</v>
      </c>
      <c r="H64" s="136">
        <f t="shared" si="3"/>
        <v>0</v>
      </c>
      <c r="I64" s="136">
        <f t="shared" si="3"/>
        <v>0</v>
      </c>
    </row>
    <row r="65" spans="1:9">
      <c r="A65" s="63" t="str">
        <f t="shared" si="0"/>
        <v>Green Gram/ Moong</v>
      </c>
      <c r="B65" s="164">
        <v>15</v>
      </c>
      <c r="C65" s="136">
        <f>$B65*C12</f>
        <v>0</v>
      </c>
      <c r="D65" s="136">
        <f t="shared" ref="D65:I67" si="4">$B65*D12</f>
        <v>0</v>
      </c>
      <c r="E65" s="136">
        <f t="shared" si="4"/>
        <v>0</v>
      </c>
      <c r="F65" s="136">
        <f t="shared" si="4"/>
        <v>0</v>
      </c>
      <c r="G65" s="136">
        <f t="shared" si="4"/>
        <v>0</v>
      </c>
      <c r="H65" s="136">
        <f t="shared" si="4"/>
        <v>0</v>
      </c>
      <c r="I65" s="136">
        <f t="shared" si="4"/>
        <v>0</v>
      </c>
    </row>
    <row r="66" spans="1:9">
      <c r="A66" s="63" t="str">
        <f t="shared" si="0"/>
        <v>Maize</v>
      </c>
      <c r="B66" s="164">
        <v>25</v>
      </c>
      <c r="C66" s="136">
        <f>$B66*C13</f>
        <v>0</v>
      </c>
      <c r="D66" s="136">
        <f t="shared" si="4"/>
        <v>0</v>
      </c>
      <c r="E66" s="136">
        <f t="shared" si="4"/>
        <v>0</v>
      </c>
      <c r="F66" s="136">
        <f t="shared" si="4"/>
        <v>0</v>
      </c>
      <c r="G66" s="136">
        <f t="shared" si="4"/>
        <v>0</v>
      </c>
      <c r="H66" s="136">
        <f t="shared" si="4"/>
        <v>0</v>
      </c>
      <c r="I66" s="136">
        <f t="shared" si="4"/>
        <v>0</v>
      </c>
    </row>
    <row r="67" spans="1:9">
      <c r="A67" s="63" t="str">
        <f t="shared" si="0"/>
        <v>Black Gram/Udid</v>
      </c>
      <c r="B67" s="164">
        <v>15</v>
      </c>
      <c r="C67" s="136">
        <f>$B67*C14</f>
        <v>0</v>
      </c>
      <c r="D67" s="136">
        <f t="shared" si="4"/>
        <v>0</v>
      </c>
      <c r="E67" s="136">
        <f t="shared" si="4"/>
        <v>0</v>
      </c>
      <c r="F67" s="136">
        <f t="shared" si="4"/>
        <v>0</v>
      </c>
      <c r="G67" s="136">
        <f t="shared" si="4"/>
        <v>0</v>
      </c>
      <c r="H67" s="136">
        <f t="shared" si="4"/>
        <v>0</v>
      </c>
      <c r="I67" s="136">
        <f t="shared" si="4"/>
        <v>0</v>
      </c>
    </row>
    <row r="68" spans="1:9">
      <c r="A68" s="63" t="str">
        <f t="shared" si="0"/>
        <v>Bajra</v>
      </c>
      <c r="B68" s="164">
        <v>5</v>
      </c>
      <c r="C68" s="136">
        <f t="shared" ref="C68:I68" si="5">$B68*C15</f>
        <v>0</v>
      </c>
      <c r="D68" s="136">
        <f t="shared" si="5"/>
        <v>0</v>
      </c>
      <c r="E68" s="136">
        <f t="shared" si="5"/>
        <v>0</v>
      </c>
      <c r="F68" s="136">
        <f t="shared" si="5"/>
        <v>0</v>
      </c>
      <c r="G68" s="136">
        <f t="shared" si="5"/>
        <v>0</v>
      </c>
      <c r="H68" s="136">
        <f t="shared" si="5"/>
        <v>0</v>
      </c>
      <c r="I68" s="136">
        <f t="shared" si="5"/>
        <v>0</v>
      </c>
    </row>
    <row r="69" spans="1:9">
      <c r="A69" s="63" t="str">
        <f t="shared" si="0"/>
        <v>Jawar</v>
      </c>
      <c r="B69" s="164">
        <v>5</v>
      </c>
      <c r="C69" s="136">
        <f t="shared" ref="C69:I69" si="6">$B69*C16</f>
        <v>0</v>
      </c>
      <c r="D69" s="136">
        <f t="shared" si="6"/>
        <v>0</v>
      </c>
      <c r="E69" s="136">
        <f t="shared" si="6"/>
        <v>0</v>
      </c>
      <c r="F69" s="136">
        <f t="shared" si="6"/>
        <v>0</v>
      </c>
      <c r="G69" s="136">
        <f t="shared" si="6"/>
        <v>0</v>
      </c>
      <c r="H69" s="136">
        <f t="shared" si="6"/>
        <v>0</v>
      </c>
      <c r="I69" s="136">
        <f t="shared" si="6"/>
        <v>0</v>
      </c>
    </row>
    <row r="70" spans="1:9">
      <c r="A70" s="65" t="str">
        <f t="shared" si="0"/>
        <v>Rabi Crop</v>
      </c>
      <c r="B70" s="164"/>
      <c r="C70" s="136"/>
      <c r="D70" s="136"/>
      <c r="E70" s="136"/>
      <c r="F70" s="136"/>
      <c r="G70" s="136"/>
      <c r="H70" s="136"/>
      <c r="I70" s="136"/>
    </row>
    <row r="71" spans="1:9">
      <c r="A71" s="63">
        <f t="shared" si="0"/>
        <v>0</v>
      </c>
      <c r="B71" s="164">
        <v>20</v>
      </c>
      <c r="C71" s="136">
        <f t="shared" ref="C71:I71" si="7">$B71*C18</f>
        <v>0</v>
      </c>
      <c r="D71" s="136">
        <f t="shared" si="7"/>
        <v>0</v>
      </c>
      <c r="E71" s="136">
        <f t="shared" si="7"/>
        <v>0</v>
      </c>
      <c r="F71" s="136">
        <f t="shared" si="7"/>
        <v>0</v>
      </c>
      <c r="G71" s="136">
        <f t="shared" si="7"/>
        <v>0</v>
      </c>
      <c r="H71" s="136">
        <f t="shared" si="7"/>
        <v>0</v>
      </c>
      <c r="I71" s="136">
        <f t="shared" si="7"/>
        <v>0</v>
      </c>
    </row>
    <row r="72" spans="1:9">
      <c r="A72" s="63">
        <f t="shared" si="0"/>
        <v>0</v>
      </c>
      <c r="B72" s="164">
        <v>25</v>
      </c>
      <c r="C72" s="136">
        <f t="shared" ref="C72:I72" si="8">$B72*C19</f>
        <v>0</v>
      </c>
      <c r="D72" s="136">
        <f t="shared" si="8"/>
        <v>0</v>
      </c>
      <c r="E72" s="136">
        <f t="shared" si="8"/>
        <v>0</v>
      </c>
      <c r="F72" s="136">
        <f t="shared" si="8"/>
        <v>0</v>
      </c>
      <c r="G72" s="136">
        <f t="shared" si="8"/>
        <v>0</v>
      </c>
      <c r="H72" s="136">
        <f t="shared" si="8"/>
        <v>0</v>
      </c>
      <c r="I72" s="136">
        <f t="shared" si="8"/>
        <v>0</v>
      </c>
    </row>
    <row r="73" spans="1:9">
      <c r="A73" s="63">
        <f t="shared" si="0"/>
        <v>0</v>
      </c>
      <c r="B73" s="164">
        <v>5</v>
      </c>
      <c r="C73" s="136">
        <f t="shared" ref="C73:I73" si="9">$B73*C20</f>
        <v>0</v>
      </c>
      <c r="D73" s="136">
        <f t="shared" si="9"/>
        <v>0</v>
      </c>
      <c r="E73" s="136">
        <f t="shared" si="9"/>
        <v>0</v>
      </c>
      <c r="F73" s="136">
        <f t="shared" si="9"/>
        <v>0</v>
      </c>
      <c r="G73" s="136">
        <f t="shared" si="9"/>
        <v>0</v>
      </c>
      <c r="H73" s="136">
        <f t="shared" si="9"/>
        <v>0</v>
      </c>
      <c r="I73" s="136">
        <f t="shared" si="9"/>
        <v>0</v>
      </c>
    </row>
    <row r="74" spans="1:9">
      <c r="A74" s="63">
        <f t="shared" si="0"/>
        <v>0</v>
      </c>
      <c r="B74" s="164">
        <v>20</v>
      </c>
      <c r="C74" s="136">
        <f t="shared" ref="C74:I74" si="10">$B74*C21</f>
        <v>0</v>
      </c>
      <c r="D74" s="136">
        <f t="shared" si="10"/>
        <v>0</v>
      </c>
      <c r="E74" s="136">
        <f t="shared" si="10"/>
        <v>0</v>
      </c>
      <c r="F74" s="136">
        <f t="shared" si="10"/>
        <v>0</v>
      </c>
      <c r="G74" s="136">
        <f t="shared" si="10"/>
        <v>0</v>
      </c>
      <c r="H74" s="136">
        <f t="shared" si="10"/>
        <v>0</v>
      </c>
      <c r="I74" s="136">
        <f t="shared" si="10"/>
        <v>0</v>
      </c>
    </row>
    <row r="75" spans="1:9">
      <c r="A75" s="63">
        <f t="shared" si="0"/>
        <v>0</v>
      </c>
      <c r="B75" s="164"/>
      <c r="C75" s="136">
        <f t="shared" ref="C75:I75" si="11">$B75*C22</f>
        <v>0</v>
      </c>
      <c r="D75" s="136">
        <f t="shared" si="11"/>
        <v>0</v>
      </c>
      <c r="E75" s="136">
        <f t="shared" si="11"/>
        <v>0</v>
      </c>
      <c r="F75" s="136">
        <f t="shared" si="11"/>
        <v>0</v>
      </c>
      <c r="G75" s="136">
        <f t="shared" si="11"/>
        <v>0</v>
      </c>
      <c r="H75" s="136">
        <f t="shared" si="11"/>
        <v>0</v>
      </c>
      <c r="I75" s="136">
        <f t="shared" si="11"/>
        <v>0</v>
      </c>
    </row>
    <row r="76" spans="1:9">
      <c r="A76" s="63">
        <f t="shared" si="0"/>
        <v>0</v>
      </c>
      <c r="B76" s="164"/>
      <c r="C76" s="136">
        <f t="shared" ref="C76:I76" si="12">$B76*C23</f>
        <v>0</v>
      </c>
      <c r="D76" s="136">
        <f t="shared" si="12"/>
        <v>0</v>
      </c>
      <c r="E76" s="136">
        <f t="shared" si="12"/>
        <v>0</v>
      </c>
      <c r="F76" s="136">
        <f t="shared" si="12"/>
        <v>0</v>
      </c>
      <c r="G76" s="136">
        <f t="shared" si="12"/>
        <v>0</v>
      </c>
      <c r="H76" s="136">
        <f t="shared" si="12"/>
        <v>0</v>
      </c>
      <c r="I76" s="136">
        <f t="shared" si="12"/>
        <v>0</v>
      </c>
    </row>
    <row r="77" spans="1:9">
      <c r="A77" s="63">
        <f t="shared" si="0"/>
        <v>0</v>
      </c>
      <c r="B77" s="164"/>
      <c r="C77" s="136">
        <f t="shared" ref="C77:I77" si="13">$B77*C24</f>
        <v>0</v>
      </c>
      <c r="D77" s="136">
        <f t="shared" si="13"/>
        <v>0</v>
      </c>
      <c r="E77" s="136">
        <f t="shared" si="13"/>
        <v>0</v>
      </c>
      <c r="F77" s="136">
        <f t="shared" si="13"/>
        <v>0</v>
      </c>
      <c r="G77" s="136">
        <f t="shared" si="13"/>
        <v>0</v>
      </c>
      <c r="H77" s="136">
        <f t="shared" si="13"/>
        <v>0</v>
      </c>
      <c r="I77" s="136">
        <f t="shared" si="13"/>
        <v>0</v>
      </c>
    </row>
    <row r="78" spans="1:9">
      <c r="A78" s="63">
        <f t="shared" si="0"/>
        <v>0</v>
      </c>
      <c r="B78" s="164"/>
      <c r="C78" s="136">
        <f t="shared" ref="C78:I78" si="14">$B78*C25</f>
        <v>0</v>
      </c>
      <c r="D78" s="136">
        <f t="shared" si="14"/>
        <v>0</v>
      </c>
      <c r="E78" s="136">
        <f t="shared" si="14"/>
        <v>0</v>
      </c>
      <c r="F78" s="136">
        <f t="shared" si="14"/>
        <v>0</v>
      </c>
      <c r="G78" s="136">
        <f t="shared" si="14"/>
        <v>0</v>
      </c>
      <c r="H78" s="136">
        <f t="shared" si="14"/>
        <v>0</v>
      </c>
      <c r="I78" s="136">
        <f t="shared" si="14"/>
        <v>0</v>
      </c>
    </row>
    <row r="79" spans="1:9">
      <c r="A79" s="65" t="str">
        <f t="shared" si="0"/>
        <v>Summer</v>
      </c>
      <c r="B79" s="164"/>
      <c r="C79" s="136"/>
      <c r="D79" s="136"/>
      <c r="E79" s="136"/>
      <c r="F79" s="136"/>
      <c r="G79" s="136"/>
      <c r="H79" s="136"/>
      <c r="I79" s="136"/>
    </row>
    <row r="80" spans="1:9">
      <c r="A80" s="63" t="str">
        <f t="shared" si="0"/>
        <v>Groundnut</v>
      </c>
      <c r="B80" s="164"/>
      <c r="C80" s="136">
        <f t="shared" ref="C80:I80" si="15">$B80*C27</f>
        <v>0</v>
      </c>
      <c r="D80" s="136">
        <f t="shared" si="15"/>
        <v>0</v>
      </c>
      <c r="E80" s="136">
        <f t="shared" si="15"/>
        <v>0</v>
      </c>
      <c r="F80" s="136">
        <f t="shared" si="15"/>
        <v>0</v>
      </c>
      <c r="G80" s="136">
        <f t="shared" si="15"/>
        <v>0</v>
      </c>
      <c r="H80" s="136">
        <f t="shared" si="15"/>
        <v>0</v>
      </c>
      <c r="I80" s="136">
        <f t="shared" si="15"/>
        <v>0</v>
      </c>
    </row>
    <row r="81" spans="1:9">
      <c r="A81" s="63">
        <f t="shared" si="0"/>
        <v>0</v>
      </c>
      <c r="B81" s="164"/>
      <c r="C81" s="136">
        <f t="shared" ref="C81:I81" si="16">$B81*C28</f>
        <v>0</v>
      </c>
      <c r="D81" s="136">
        <f t="shared" si="16"/>
        <v>0</v>
      </c>
      <c r="E81" s="136">
        <f t="shared" si="16"/>
        <v>0</v>
      </c>
      <c r="F81" s="136">
        <f t="shared" si="16"/>
        <v>0</v>
      </c>
      <c r="G81" s="136">
        <f t="shared" si="16"/>
        <v>0</v>
      </c>
      <c r="H81" s="136">
        <f t="shared" si="16"/>
        <v>0</v>
      </c>
      <c r="I81" s="136">
        <f t="shared" si="16"/>
        <v>0</v>
      </c>
    </row>
    <row r="82" spans="1:9">
      <c r="A82" s="63">
        <f t="shared" si="0"/>
        <v>0</v>
      </c>
      <c r="B82" s="164"/>
      <c r="C82" s="136">
        <f t="shared" ref="C82:I82" si="17">$B82*C29</f>
        <v>0</v>
      </c>
      <c r="D82" s="136">
        <f t="shared" si="17"/>
        <v>0</v>
      </c>
      <c r="E82" s="136">
        <f t="shared" si="17"/>
        <v>0</v>
      </c>
      <c r="F82" s="136">
        <f t="shared" si="17"/>
        <v>0</v>
      </c>
      <c r="G82" s="136">
        <f t="shared" si="17"/>
        <v>0</v>
      </c>
      <c r="H82" s="136">
        <f t="shared" si="17"/>
        <v>0</v>
      </c>
      <c r="I82" s="136">
        <f t="shared" si="17"/>
        <v>0</v>
      </c>
    </row>
    <row r="83" spans="1:9">
      <c r="A83" s="63">
        <f t="shared" si="0"/>
        <v>0</v>
      </c>
      <c r="B83" s="164"/>
      <c r="C83" s="136">
        <f t="shared" ref="C83:I83" si="18">$B83*C30</f>
        <v>0</v>
      </c>
      <c r="D83" s="136">
        <f t="shared" si="18"/>
        <v>0</v>
      </c>
      <c r="E83" s="136">
        <f t="shared" si="18"/>
        <v>0</v>
      </c>
      <c r="F83" s="136">
        <f t="shared" si="18"/>
        <v>0</v>
      </c>
      <c r="G83" s="136">
        <f t="shared" si="18"/>
        <v>0</v>
      </c>
      <c r="H83" s="136">
        <f t="shared" si="18"/>
        <v>0</v>
      </c>
      <c r="I83" s="136">
        <f t="shared" si="18"/>
        <v>0</v>
      </c>
    </row>
    <row r="84" spans="1:9">
      <c r="A84" s="63">
        <f t="shared" si="0"/>
        <v>0</v>
      </c>
      <c r="B84" s="164"/>
      <c r="C84" s="136">
        <f t="shared" ref="C84:I84" si="19">$B84*C31</f>
        <v>0</v>
      </c>
      <c r="D84" s="136">
        <f t="shared" si="19"/>
        <v>0</v>
      </c>
      <c r="E84" s="136">
        <f t="shared" si="19"/>
        <v>0</v>
      </c>
      <c r="F84" s="136">
        <f t="shared" si="19"/>
        <v>0</v>
      </c>
      <c r="G84" s="136">
        <f t="shared" si="19"/>
        <v>0</v>
      </c>
      <c r="H84" s="136">
        <f t="shared" si="19"/>
        <v>0</v>
      </c>
      <c r="I84" s="136">
        <f t="shared" si="19"/>
        <v>0</v>
      </c>
    </row>
    <row r="85" spans="1:9">
      <c r="A85" s="65" t="str">
        <f t="shared" si="0"/>
        <v>Grain Crop Production Details</v>
      </c>
      <c r="B85" s="164"/>
      <c r="C85" s="136"/>
      <c r="D85" s="136"/>
      <c r="E85" s="136"/>
      <c r="F85" s="136"/>
      <c r="G85" s="136"/>
      <c r="H85" s="136"/>
      <c r="I85" s="136"/>
    </row>
    <row r="86" spans="1:9">
      <c r="A86" s="63">
        <f t="shared" si="0"/>
        <v>0</v>
      </c>
      <c r="B86" s="164"/>
      <c r="C86" s="136">
        <f t="shared" ref="C86:I86" si="20">$B86*C33</f>
        <v>0</v>
      </c>
      <c r="D86" s="136">
        <f t="shared" si="20"/>
        <v>0</v>
      </c>
      <c r="E86" s="136">
        <f t="shared" si="20"/>
        <v>0</v>
      </c>
      <c r="F86" s="136">
        <f t="shared" si="20"/>
        <v>0</v>
      </c>
      <c r="G86" s="136">
        <f t="shared" si="20"/>
        <v>0</v>
      </c>
      <c r="H86" s="136">
        <f t="shared" si="20"/>
        <v>0</v>
      </c>
      <c r="I86" s="136">
        <f t="shared" si="20"/>
        <v>0</v>
      </c>
    </row>
    <row r="87" spans="1:9">
      <c r="A87" s="63" t="e">
        <f t="shared" si="0"/>
        <v>#REF!</v>
      </c>
      <c r="B87" s="164"/>
      <c r="C87" s="136" t="e">
        <f t="shared" ref="C87:I87" si="21">$B87*C34</f>
        <v>#REF!</v>
      </c>
      <c r="D87" s="136" t="e">
        <f t="shared" si="21"/>
        <v>#REF!</v>
      </c>
      <c r="E87" s="136" t="e">
        <f t="shared" si="21"/>
        <v>#REF!</v>
      </c>
      <c r="F87" s="136" t="e">
        <f t="shared" si="21"/>
        <v>#REF!</v>
      </c>
      <c r="G87" s="136" t="e">
        <f t="shared" si="21"/>
        <v>#REF!</v>
      </c>
      <c r="H87" s="136" t="e">
        <f t="shared" si="21"/>
        <v>#REF!</v>
      </c>
      <c r="I87" s="136" t="e">
        <f t="shared" si="21"/>
        <v>#REF!</v>
      </c>
    </row>
    <row r="88" spans="1:9">
      <c r="A88" s="63" t="e">
        <f t="shared" si="0"/>
        <v>#REF!</v>
      </c>
      <c r="B88" s="164"/>
      <c r="C88" s="136" t="e">
        <f t="shared" ref="C88:I88" si="22">$B88*C35</f>
        <v>#REF!</v>
      </c>
      <c r="D88" s="136" t="e">
        <f t="shared" si="22"/>
        <v>#REF!</v>
      </c>
      <c r="E88" s="136" t="e">
        <f t="shared" si="22"/>
        <v>#REF!</v>
      </c>
      <c r="F88" s="136" t="e">
        <f t="shared" si="22"/>
        <v>#REF!</v>
      </c>
      <c r="G88" s="136" t="e">
        <f t="shared" si="22"/>
        <v>#REF!</v>
      </c>
      <c r="H88" s="136" t="e">
        <f t="shared" si="22"/>
        <v>#REF!</v>
      </c>
      <c r="I88" s="136" t="e">
        <f t="shared" si="22"/>
        <v>#REF!</v>
      </c>
    </row>
    <row r="89" spans="1:9">
      <c r="A89" s="63" t="str">
        <f t="shared" si="0"/>
        <v>-</v>
      </c>
      <c r="B89" s="164"/>
      <c r="C89" s="136">
        <f t="shared" ref="C89:I89" si="23">$B89*C36</f>
        <v>0</v>
      </c>
      <c r="D89" s="136">
        <f t="shared" si="23"/>
        <v>0</v>
      </c>
      <c r="E89" s="136">
        <f t="shared" si="23"/>
        <v>0</v>
      </c>
      <c r="F89" s="136">
        <f t="shared" si="23"/>
        <v>0</v>
      </c>
      <c r="G89" s="136">
        <f t="shared" si="23"/>
        <v>0</v>
      </c>
      <c r="H89" s="136">
        <f t="shared" si="23"/>
        <v>0</v>
      </c>
      <c r="I89" s="136">
        <f t="shared" si="23"/>
        <v>0</v>
      </c>
    </row>
    <row r="90" spans="1:9">
      <c r="A90" s="63" t="e">
        <f t="shared" si="0"/>
        <v>#REF!</v>
      </c>
      <c r="B90" s="164"/>
      <c r="C90" s="136" t="e">
        <f t="shared" ref="C90:I90" si="24">$B90*C37</f>
        <v>#REF!</v>
      </c>
      <c r="D90" s="136" t="e">
        <f t="shared" si="24"/>
        <v>#REF!</v>
      </c>
      <c r="E90" s="136" t="e">
        <f t="shared" si="24"/>
        <v>#REF!</v>
      </c>
      <c r="F90" s="136" t="e">
        <f t="shared" si="24"/>
        <v>#REF!</v>
      </c>
      <c r="G90" s="136" t="e">
        <f t="shared" si="24"/>
        <v>#REF!</v>
      </c>
      <c r="H90" s="136" t="e">
        <f t="shared" si="24"/>
        <v>#REF!</v>
      </c>
      <c r="I90" s="136" t="e">
        <f t="shared" si="24"/>
        <v>#REF!</v>
      </c>
    </row>
    <row r="91" spans="1:9">
      <c r="A91" s="63" t="e">
        <f t="shared" si="0"/>
        <v>#REF!</v>
      </c>
      <c r="B91" s="164"/>
      <c r="C91" s="136" t="e">
        <f t="shared" ref="C91:I91" si="25">$B91*C38</f>
        <v>#REF!</v>
      </c>
      <c r="D91" s="136" t="e">
        <f t="shared" si="25"/>
        <v>#REF!</v>
      </c>
      <c r="E91" s="136" t="e">
        <f t="shared" si="25"/>
        <v>#REF!</v>
      </c>
      <c r="F91" s="136" t="e">
        <f t="shared" si="25"/>
        <v>#REF!</v>
      </c>
      <c r="G91" s="136" t="e">
        <f t="shared" si="25"/>
        <v>#REF!</v>
      </c>
      <c r="H91" s="136" t="e">
        <f t="shared" si="25"/>
        <v>#REF!</v>
      </c>
      <c r="I91" s="136" t="e">
        <f t="shared" si="25"/>
        <v>#REF!</v>
      </c>
    </row>
    <row r="92" spans="1:9">
      <c r="A92" s="63" t="e">
        <f t="shared" si="0"/>
        <v>#REF!</v>
      </c>
      <c r="B92" s="164"/>
      <c r="C92" s="136" t="e">
        <f t="shared" ref="C92:I92" si="26">$B92*C39</f>
        <v>#REF!</v>
      </c>
      <c r="D92" s="136" t="e">
        <f t="shared" si="26"/>
        <v>#REF!</v>
      </c>
      <c r="E92" s="136" t="e">
        <f t="shared" si="26"/>
        <v>#REF!</v>
      </c>
      <c r="F92" s="136" t="e">
        <f t="shared" si="26"/>
        <v>#REF!</v>
      </c>
      <c r="G92" s="136" t="e">
        <f t="shared" si="26"/>
        <v>#REF!</v>
      </c>
      <c r="H92" s="136" t="e">
        <f t="shared" si="26"/>
        <v>#REF!</v>
      </c>
      <c r="I92" s="136" t="e">
        <f t="shared" si="26"/>
        <v>#REF!</v>
      </c>
    </row>
    <row r="93" spans="1:9">
      <c r="A93" s="63" t="e">
        <f t="shared" ref="A93:A110" si="27">A40</f>
        <v>#REF!</v>
      </c>
      <c r="B93" s="164"/>
      <c r="C93" s="136" t="e">
        <f t="shared" ref="C93:I93" si="28">$B93*C40</f>
        <v>#REF!</v>
      </c>
      <c r="D93" s="136" t="e">
        <f t="shared" si="28"/>
        <v>#REF!</v>
      </c>
      <c r="E93" s="136" t="e">
        <f t="shared" si="28"/>
        <v>#REF!</v>
      </c>
      <c r="F93" s="136" t="e">
        <f t="shared" si="28"/>
        <v>#REF!</v>
      </c>
      <c r="G93" s="136" t="e">
        <f t="shared" si="28"/>
        <v>#REF!</v>
      </c>
      <c r="H93" s="136" t="e">
        <f t="shared" si="28"/>
        <v>#REF!</v>
      </c>
      <c r="I93" s="136" t="e">
        <f t="shared" si="28"/>
        <v>#REF!</v>
      </c>
    </row>
    <row r="94" spans="1:9">
      <c r="A94" s="63" t="e">
        <f t="shared" si="27"/>
        <v>#REF!</v>
      </c>
      <c r="B94" s="164"/>
      <c r="C94" s="136" t="e">
        <f t="shared" ref="C94:I94" si="29">$B94*C41</f>
        <v>#REF!</v>
      </c>
      <c r="D94" s="136" t="e">
        <f t="shared" si="29"/>
        <v>#REF!</v>
      </c>
      <c r="E94" s="136" t="e">
        <f t="shared" si="29"/>
        <v>#REF!</v>
      </c>
      <c r="F94" s="136" t="e">
        <f t="shared" si="29"/>
        <v>#REF!</v>
      </c>
      <c r="G94" s="136" t="e">
        <f t="shared" si="29"/>
        <v>#REF!</v>
      </c>
      <c r="H94" s="136" t="e">
        <f t="shared" si="29"/>
        <v>#REF!</v>
      </c>
      <c r="I94" s="136" t="e">
        <f t="shared" si="29"/>
        <v>#REF!</v>
      </c>
    </row>
    <row r="95" spans="1:9">
      <c r="A95" s="63" t="e">
        <f t="shared" si="27"/>
        <v>#REF!</v>
      </c>
      <c r="B95" s="164"/>
      <c r="C95" s="136" t="e">
        <f t="shared" ref="C95:I95" si="30">$B95*C42</f>
        <v>#REF!</v>
      </c>
      <c r="D95" s="136" t="e">
        <f t="shared" si="30"/>
        <v>#REF!</v>
      </c>
      <c r="E95" s="136" t="e">
        <f t="shared" si="30"/>
        <v>#REF!</v>
      </c>
      <c r="F95" s="136" t="e">
        <f t="shared" si="30"/>
        <v>#REF!</v>
      </c>
      <c r="G95" s="136" t="e">
        <f t="shared" si="30"/>
        <v>#REF!</v>
      </c>
      <c r="H95" s="136" t="e">
        <f t="shared" si="30"/>
        <v>#REF!</v>
      </c>
      <c r="I95" s="136" t="e">
        <f t="shared" si="30"/>
        <v>#REF!</v>
      </c>
    </row>
    <row r="96" spans="1:9">
      <c r="A96" s="63" t="e">
        <f t="shared" si="27"/>
        <v>#REF!</v>
      </c>
      <c r="B96" s="164"/>
      <c r="C96" s="136" t="e">
        <f t="shared" ref="C96:I96" si="31">$B96*C43</f>
        <v>#REF!</v>
      </c>
      <c r="D96" s="136" t="e">
        <f t="shared" si="31"/>
        <v>#REF!</v>
      </c>
      <c r="E96" s="136" t="e">
        <f t="shared" si="31"/>
        <v>#REF!</v>
      </c>
      <c r="F96" s="136" t="e">
        <f t="shared" si="31"/>
        <v>#REF!</v>
      </c>
      <c r="G96" s="136" t="e">
        <f t="shared" si="31"/>
        <v>#REF!</v>
      </c>
      <c r="H96" s="136" t="e">
        <f t="shared" si="31"/>
        <v>#REF!</v>
      </c>
      <c r="I96" s="136" t="e">
        <f t="shared" si="31"/>
        <v>#REF!</v>
      </c>
    </row>
    <row r="97" spans="1:9">
      <c r="A97" s="63" t="e">
        <f t="shared" si="27"/>
        <v>#REF!</v>
      </c>
      <c r="B97" s="164"/>
      <c r="C97" s="136" t="e">
        <f t="shared" ref="C97:I97" si="32">$B97*C44</f>
        <v>#REF!</v>
      </c>
      <c r="D97" s="136" t="e">
        <f t="shared" si="32"/>
        <v>#REF!</v>
      </c>
      <c r="E97" s="136" t="e">
        <f t="shared" si="32"/>
        <v>#REF!</v>
      </c>
      <c r="F97" s="136" t="e">
        <f t="shared" si="32"/>
        <v>#REF!</v>
      </c>
      <c r="G97" s="136" t="e">
        <f t="shared" si="32"/>
        <v>#REF!</v>
      </c>
      <c r="H97" s="136" t="e">
        <f t="shared" si="32"/>
        <v>#REF!</v>
      </c>
      <c r="I97" s="136" t="e">
        <f t="shared" si="32"/>
        <v>#REF!</v>
      </c>
    </row>
    <row r="98" spans="1:9">
      <c r="A98" s="63" t="e">
        <f t="shared" si="27"/>
        <v>#REF!</v>
      </c>
      <c r="B98" s="164"/>
      <c r="C98" s="136" t="e">
        <f t="shared" ref="C98:I98" si="33">$B98*C45</f>
        <v>#REF!</v>
      </c>
      <c r="D98" s="136" t="e">
        <f t="shared" si="33"/>
        <v>#REF!</v>
      </c>
      <c r="E98" s="136" t="e">
        <f t="shared" si="33"/>
        <v>#REF!</v>
      </c>
      <c r="F98" s="136" t="e">
        <f t="shared" si="33"/>
        <v>#REF!</v>
      </c>
      <c r="G98" s="136" t="e">
        <f t="shared" si="33"/>
        <v>#REF!</v>
      </c>
      <c r="H98" s="136" t="e">
        <f t="shared" si="33"/>
        <v>#REF!</v>
      </c>
      <c r="I98" s="136" t="e">
        <f t="shared" si="33"/>
        <v>#REF!</v>
      </c>
    </row>
    <row r="99" spans="1:9">
      <c r="A99" s="63" t="e">
        <f t="shared" si="27"/>
        <v>#REF!</v>
      </c>
      <c r="B99" s="164"/>
      <c r="C99" s="136" t="e">
        <f t="shared" ref="C99:I99" si="34">$B99*C46</f>
        <v>#REF!</v>
      </c>
      <c r="D99" s="136" t="e">
        <f t="shared" si="34"/>
        <v>#REF!</v>
      </c>
      <c r="E99" s="136" t="e">
        <f t="shared" si="34"/>
        <v>#REF!</v>
      </c>
      <c r="F99" s="136" t="e">
        <f t="shared" si="34"/>
        <v>#REF!</v>
      </c>
      <c r="G99" s="136" t="e">
        <f t="shared" si="34"/>
        <v>#REF!</v>
      </c>
      <c r="H99" s="136" t="e">
        <f t="shared" si="34"/>
        <v>#REF!</v>
      </c>
      <c r="I99" s="136" t="e">
        <f t="shared" si="34"/>
        <v>#REF!</v>
      </c>
    </row>
    <row r="100" spans="1:9">
      <c r="A100" s="63" t="e">
        <f t="shared" si="27"/>
        <v>#REF!</v>
      </c>
      <c r="B100" s="164"/>
      <c r="C100" s="136" t="e">
        <f t="shared" ref="C100:I100" si="35">$B100*C47</f>
        <v>#REF!</v>
      </c>
      <c r="D100" s="136" t="e">
        <f t="shared" si="35"/>
        <v>#REF!</v>
      </c>
      <c r="E100" s="136" t="e">
        <f t="shared" si="35"/>
        <v>#REF!</v>
      </c>
      <c r="F100" s="136" t="e">
        <f t="shared" si="35"/>
        <v>#REF!</v>
      </c>
      <c r="G100" s="136" t="e">
        <f t="shared" si="35"/>
        <v>#REF!</v>
      </c>
      <c r="H100" s="136" t="e">
        <f t="shared" si="35"/>
        <v>#REF!</v>
      </c>
      <c r="I100" s="136" t="e">
        <f t="shared" si="35"/>
        <v>#REF!</v>
      </c>
    </row>
    <row r="101" spans="1:9">
      <c r="A101" s="63" t="e">
        <f t="shared" si="27"/>
        <v>#REF!</v>
      </c>
      <c r="B101" s="164"/>
      <c r="C101" s="136" t="e">
        <f t="shared" ref="C101:I101" si="36">$B101*C48</f>
        <v>#REF!</v>
      </c>
      <c r="D101" s="136" t="e">
        <f t="shared" si="36"/>
        <v>#REF!</v>
      </c>
      <c r="E101" s="136" t="e">
        <f t="shared" si="36"/>
        <v>#REF!</v>
      </c>
      <c r="F101" s="136" t="e">
        <f t="shared" si="36"/>
        <v>#REF!</v>
      </c>
      <c r="G101" s="136" t="e">
        <f t="shared" si="36"/>
        <v>#REF!</v>
      </c>
      <c r="H101" s="136" t="e">
        <f t="shared" si="36"/>
        <v>#REF!</v>
      </c>
      <c r="I101" s="136" t="e">
        <f t="shared" si="36"/>
        <v>#REF!</v>
      </c>
    </row>
    <row r="102" spans="1:9">
      <c r="A102" s="63" t="e">
        <f t="shared" si="27"/>
        <v>#REF!</v>
      </c>
      <c r="B102" s="164"/>
      <c r="C102" s="136" t="e">
        <f t="shared" ref="C102:I102" si="37">$B102*C49</f>
        <v>#REF!</v>
      </c>
      <c r="D102" s="136" t="e">
        <f t="shared" si="37"/>
        <v>#REF!</v>
      </c>
      <c r="E102" s="136" t="e">
        <f t="shared" si="37"/>
        <v>#REF!</v>
      </c>
      <c r="F102" s="136" t="e">
        <f t="shared" si="37"/>
        <v>#REF!</v>
      </c>
      <c r="G102" s="136" t="e">
        <f t="shared" si="37"/>
        <v>#REF!</v>
      </c>
      <c r="H102" s="136" t="e">
        <f t="shared" si="37"/>
        <v>#REF!</v>
      </c>
      <c r="I102" s="136" t="e">
        <f t="shared" si="37"/>
        <v>#REF!</v>
      </c>
    </row>
    <row r="103" spans="1:9">
      <c r="A103" s="63" t="e">
        <f t="shared" si="27"/>
        <v>#REF!</v>
      </c>
      <c r="B103" s="164"/>
      <c r="C103" s="136" t="e">
        <f t="shared" ref="C103:I103" si="38">$B103*C50</f>
        <v>#REF!</v>
      </c>
      <c r="D103" s="136" t="e">
        <f t="shared" si="38"/>
        <v>#REF!</v>
      </c>
      <c r="E103" s="136" t="e">
        <f t="shared" si="38"/>
        <v>#REF!</v>
      </c>
      <c r="F103" s="136" t="e">
        <f t="shared" si="38"/>
        <v>#REF!</v>
      </c>
      <c r="G103" s="136" t="e">
        <f t="shared" si="38"/>
        <v>#REF!</v>
      </c>
      <c r="H103" s="136" t="e">
        <f t="shared" si="38"/>
        <v>#REF!</v>
      </c>
      <c r="I103" s="136" t="e">
        <f t="shared" si="38"/>
        <v>#REF!</v>
      </c>
    </row>
    <row r="104" spans="1:9">
      <c r="A104" s="63" t="e">
        <f t="shared" si="27"/>
        <v>#REF!</v>
      </c>
      <c r="B104" s="164"/>
      <c r="C104" s="136" t="e">
        <f t="shared" ref="C104:I104" si="39">$B104*C51</f>
        <v>#REF!</v>
      </c>
      <c r="D104" s="136" t="e">
        <f t="shared" si="39"/>
        <v>#REF!</v>
      </c>
      <c r="E104" s="136" t="e">
        <f t="shared" si="39"/>
        <v>#REF!</v>
      </c>
      <c r="F104" s="136" t="e">
        <f t="shared" si="39"/>
        <v>#REF!</v>
      </c>
      <c r="G104" s="136" t="e">
        <f t="shared" si="39"/>
        <v>#REF!</v>
      </c>
      <c r="H104" s="136" t="e">
        <f t="shared" si="39"/>
        <v>#REF!</v>
      </c>
      <c r="I104" s="136" t="e">
        <f t="shared" si="39"/>
        <v>#REF!</v>
      </c>
    </row>
    <row r="105" spans="1:9">
      <c r="A105" s="63" t="e">
        <f t="shared" si="27"/>
        <v>#REF!</v>
      </c>
      <c r="B105" s="164"/>
      <c r="C105" s="136" t="e">
        <f t="shared" ref="C105:I105" si="40">$B105*C52</f>
        <v>#REF!</v>
      </c>
      <c r="D105" s="136" t="e">
        <f t="shared" si="40"/>
        <v>#REF!</v>
      </c>
      <c r="E105" s="136" t="e">
        <f t="shared" si="40"/>
        <v>#REF!</v>
      </c>
      <c r="F105" s="136" t="e">
        <f t="shared" si="40"/>
        <v>#REF!</v>
      </c>
      <c r="G105" s="136" t="e">
        <f t="shared" si="40"/>
        <v>#REF!</v>
      </c>
      <c r="H105" s="136" t="e">
        <f t="shared" si="40"/>
        <v>#REF!</v>
      </c>
      <c r="I105" s="136" t="e">
        <f t="shared" si="40"/>
        <v>#REF!</v>
      </c>
    </row>
    <row r="106" spans="1:9">
      <c r="A106" s="63" t="e">
        <f t="shared" si="27"/>
        <v>#REF!</v>
      </c>
      <c r="B106" s="164"/>
      <c r="C106" s="136" t="e">
        <f t="shared" ref="C106:I106" si="41">$B106*C53</f>
        <v>#REF!</v>
      </c>
      <c r="D106" s="136" t="e">
        <f t="shared" si="41"/>
        <v>#REF!</v>
      </c>
      <c r="E106" s="136" t="e">
        <f t="shared" si="41"/>
        <v>#REF!</v>
      </c>
      <c r="F106" s="136" t="e">
        <f t="shared" si="41"/>
        <v>#REF!</v>
      </c>
      <c r="G106" s="136" t="e">
        <f t="shared" si="41"/>
        <v>#REF!</v>
      </c>
      <c r="H106" s="136" t="e">
        <f t="shared" si="41"/>
        <v>#REF!</v>
      </c>
      <c r="I106" s="136" t="e">
        <f t="shared" si="41"/>
        <v>#REF!</v>
      </c>
    </row>
    <row r="107" spans="1:9">
      <c r="A107" s="63" t="e">
        <f t="shared" si="27"/>
        <v>#REF!</v>
      </c>
      <c r="B107" s="164"/>
      <c r="C107" s="136" t="e">
        <f t="shared" ref="C107:I107" si="42">$B107*C54</f>
        <v>#REF!</v>
      </c>
      <c r="D107" s="136" t="e">
        <f t="shared" si="42"/>
        <v>#REF!</v>
      </c>
      <c r="E107" s="136" t="e">
        <f t="shared" si="42"/>
        <v>#REF!</v>
      </c>
      <c r="F107" s="136" t="e">
        <f t="shared" si="42"/>
        <v>#REF!</v>
      </c>
      <c r="G107" s="136" t="e">
        <f t="shared" si="42"/>
        <v>#REF!</v>
      </c>
      <c r="H107" s="136" t="e">
        <f t="shared" si="42"/>
        <v>#REF!</v>
      </c>
      <c r="I107" s="136" t="e">
        <f t="shared" si="42"/>
        <v>#REF!</v>
      </c>
    </row>
    <row r="108" spans="1:9">
      <c r="A108" s="63" t="e">
        <f t="shared" si="27"/>
        <v>#REF!</v>
      </c>
      <c r="B108" s="164"/>
      <c r="C108" s="136" t="e">
        <f t="shared" ref="C108:I108" si="43">$B108*C55</f>
        <v>#REF!</v>
      </c>
      <c r="D108" s="136" t="e">
        <f t="shared" si="43"/>
        <v>#REF!</v>
      </c>
      <c r="E108" s="136" t="e">
        <f t="shared" si="43"/>
        <v>#REF!</v>
      </c>
      <c r="F108" s="136" t="e">
        <f t="shared" si="43"/>
        <v>#REF!</v>
      </c>
      <c r="G108" s="136" t="e">
        <f t="shared" si="43"/>
        <v>#REF!</v>
      </c>
      <c r="H108" s="136" t="e">
        <f t="shared" si="43"/>
        <v>#REF!</v>
      </c>
      <c r="I108" s="136" t="e">
        <f t="shared" si="43"/>
        <v>#REF!</v>
      </c>
    </row>
    <row r="109" spans="1:9">
      <c r="A109" s="63" t="e">
        <f t="shared" si="27"/>
        <v>#REF!</v>
      </c>
      <c r="B109" s="164"/>
      <c r="C109" s="136" t="e">
        <f t="shared" ref="C109:I109" si="44">$B109*C56</f>
        <v>#REF!</v>
      </c>
      <c r="D109" s="136" t="e">
        <f t="shared" si="44"/>
        <v>#REF!</v>
      </c>
      <c r="E109" s="136" t="e">
        <f t="shared" si="44"/>
        <v>#REF!</v>
      </c>
      <c r="F109" s="136" t="e">
        <f t="shared" si="44"/>
        <v>#REF!</v>
      </c>
      <c r="G109" s="136" t="e">
        <f t="shared" si="44"/>
        <v>#REF!</v>
      </c>
      <c r="H109" s="136" t="e">
        <f t="shared" si="44"/>
        <v>#REF!</v>
      </c>
      <c r="I109" s="136" t="e">
        <f t="shared" si="44"/>
        <v>#REF!</v>
      </c>
    </row>
    <row r="110" spans="1:9">
      <c r="A110" s="63" t="e">
        <f t="shared" si="27"/>
        <v>#REF!</v>
      </c>
      <c r="B110" s="164"/>
      <c r="C110" s="136" t="e">
        <f t="shared" ref="C110:I110" si="45">$B110*C57</f>
        <v>#REF!</v>
      </c>
      <c r="D110" s="136" t="e">
        <f t="shared" si="45"/>
        <v>#REF!</v>
      </c>
      <c r="E110" s="136" t="e">
        <f t="shared" si="45"/>
        <v>#REF!</v>
      </c>
      <c r="F110" s="136" t="e">
        <f t="shared" si="45"/>
        <v>#REF!</v>
      </c>
      <c r="G110" s="136" t="e">
        <f t="shared" si="45"/>
        <v>#REF!</v>
      </c>
      <c r="H110" s="136" t="e">
        <f t="shared" si="45"/>
        <v>#REF!</v>
      </c>
      <c r="I110" s="136" t="e">
        <f t="shared" si="45"/>
        <v>#REF!</v>
      </c>
    </row>
    <row r="111" spans="1:9">
      <c r="A111" s="63"/>
      <c r="B111" s="164"/>
      <c r="C111" s="136"/>
      <c r="D111" s="136"/>
      <c r="E111" s="136"/>
      <c r="F111" s="136"/>
      <c r="G111" s="136"/>
      <c r="H111" s="136"/>
      <c r="I111" s="136"/>
    </row>
    <row r="112" spans="1:9">
      <c r="A112" s="63"/>
      <c r="B112" s="164"/>
      <c r="C112" s="136"/>
      <c r="D112" s="136"/>
      <c r="E112" s="136"/>
      <c r="F112" s="136"/>
      <c r="G112" s="136"/>
      <c r="H112" s="136"/>
      <c r="I112" s="136"/>
    </row>
    <row r="113" spans="1:23">
      <c r="A113" s="65" t="s">
        <v>180</v>
      </c>
      <c r="B113" s="63"/>
      <c r="C113" s="63"/>
      <c r="D113" s="63"/>
      <c r="E113" s="63"/>
      <c r="F113" s="63"/>
      <c r="G113" s="63"/>
      <c r="H113" s="63"/>
      <c r="I113" s="63"/>
    </row>
    <row r="114" spans="1:23">
      <c r="A114" s="63" t="s">
        <v>390</v>
      </c>
      <c r="B114" s="164">
        <v>100</v>
      </c>
      <c r="C114" s="136" t="e">
        <f>SUM(C62:C110)*$B$114</f>
        <v>#REF!</v>
      </c>
      <c r="D114" s="136" t="e">
        <f t="shared" ref="D114:I114" si="46">SUM(D62:D110)*$B$114</f>
        <v>#REF!</v>
      </c>
      <c r="E114" s="136" t="e">
        <f t="shared" si="46"/>
        <v>#REF!</v>
      </c>
      <c r="F114" s="136" t="e">
        <f t="shared" si="46"/>
        <v>#REF!</v>
      </c>
      <c r="G114" s="136" t="e">
        <f t="shared" si="46"/>
        <v>#REF!</v>
      </c>
      <c r="H114" s="136" t="e">
        <f t="shared" si="46"/>
        <v>#REF!</v>
      </c>
      <c r="I114" s="136" t="e">
        <f t="shared" si="46"/>
        <v>#REF!</v>
      </c>
    </row>
    <row r="115" spans="1:23">
      <c r="A115" s="63" t="s">
        <v>174</v>
      </c>
      <c r="B115" s="164">
        <v>30</v>
      </c>
      <c r="C115" s="136" t="e">
        <f>SUM(C62:C110)*$B$115</f>
        <v>#REF!</v>
      </c>
      <c r="D115" s="136" t="e">
        <f t="shared" ref="D115:I115" si="47">SUM(D62:D110)*$B$115</f>
        <v>#REF!</v>
      </c>
      <c r="E115" s="136" t="e">
        <f t="shared" si="47"/>
        <v>#REF!</v>
      </c>
      <c r="F115" s="136" t="e">
        <f t="shared" si="47"/>
        <v>#REF!</v>
      </c>
      <c r="G115" s="136" t="e">
        <f t="shared" si="47"/>
        <v>#REF!</v>
      </c>
      <c r="H115" s="136" t="e">
        <f t="shared" si="47"/>
        <v>#REF!</v>
      </c>
      <c r="I115" s="136" t="e">
        <f t="shared" si="47"/>
        <v>#REF!</v>
      </c>
    </row>
    <row r="116" spans="1:23">
      <c r="A116" s="63" t="s">
        <v>176</v>
      </c>
      <c r="B116" s="164">
        <v>30</v>
      </c>
      <c r="C116" s="136" t="e">
        <f>SUM(C62:C110)*$B$116</f>
        <v>#REF!</v>
      </c>
      <c r="D116" s="136" t="e">
        <f t="shared" ref="D116:I116" si="48">SUM(D62:D110)*$B$116</f>
        <v>#REF!</v>
      </c>
      <c r="E116" s="136" t="e">
        <f t="shared" si="48"/>
        <v>#REF!</v>
      </c>
      <c r="F116" s="136" t="e">
        <f t="shared" si="48"/>
        <v>#REF!</v>
      </c>
      <c r="G116" s="136" t="e">
        <f t="shared" si="48"/>
        <v>#REF!</v>
      </c>
      <c r="H116" s="136" t="e">
        <f t="shared" si="48"/>
        <v>#REF!</v>
      </c>
      <c r="I116" s="136" t="e">
        <f t="shared" si="48"/>
        <v>#REF!</v>
      </c>
    </row>
    <row r="117" spans="1:23">
      <c r="A117" s="65" t="s">
        <v>175</v>
      </c>
      <c r="B117" s="164"/>
      <c r="C117" s="63"/>
      <c r="D117" s="63"/>
      <c r="E117" s="63"/>
      <c r="F117" s="63"/>
      <c r="G117" s="63"/>
      <c r="H117" s="63"/>
      <c r="I117" s="63"/>
    </row>
    <row r="118" spans="1:23">
      <c r="A118" s="63" t="s">
        <v>181</v>
      </c>
      <c r="B118" s="164">
        <v>0.2</v>
      </c>
      <c r="C118" s="136" t="e">
        <f>SUM(C62:C110)*$B$118</f>
        <v>#REF!</v>
      </c>
      <c r="D118" s="136" t="e">
        <f t="shared" ref="D118:I118" si="49">SUM(D62:D110)*$B$118</f>
        <v>#REF!</v>
      </c>
      <c r="E118" s="136" t="e">
        <f t="shared" si="49"/>
        <v>#REF!</v>
      </c>
      <c r="F118" s="136" t="e">
        <f t="shared" si="49"/>
        <v>#REF!</v>
      </c>
      <c r="G118" s="136" t="e">
        <f t="shared" si="49"/>
        <v>#REF!</v>
      </c>
      <c r="H118" s="136" t="e">
        <f t="shared" si="49"/>
        <v>#REF!</v>
      </c>
      <c r="I118" s="136" t="e">
        <f t="shared" si="49"/>
        <v>#REF!</v>
      </c>
    </row>
    <row r="119" spans="1:23">
      <c r="A119" s="63" t="s">
        <v>182</v>
      </c>
      <c r="B119" s="164">
        <v>0.5</v>
      </c>
      <c r="C119" s="136" t="e">
        <f>SUM(C62:C110)*$B$119</f>
        <v>#REF!</v>
      </c>
      <c r="D119" s="136" t="e">
        <f t="shared" ref="D119:I119" si="50">SUM(D62:D110)*$B$119</f>
        <v>#REF!</v>
      </c>
      <c r="E119" s="136" t="e">
        <f t="shared" si="50"/>
        <v>#REF!</v>
      </c>
      <c r="F119" s="136" t="e">
        <f t="shared" si="50"/>
        <v>#REF!</v>
      </c>
      <c r="G119" s="136" t="e">
        <f t="shared" si="50"/>
        <v>#REF!</v>
      </c>
      <c r="H119" s="136" t="e">
        <f t="shared" si="50"/>
        <v>#REF!</v>
      </c>
      <c r="I119" s="136" t="e">
        <f t="shared" si="50"/>
        <v>#REF!</v>
      </c>
    </row>
    <row r="122" spans="1:23" ht="18.75">
      <c r="A122" s="602" t="s">
        <v>554</v>
      </c>
      <c r="B122" s="602"/>
      <c r="C122" s="602"/>
      <c r="D122" s="602"/>
      <c r="E122" s="602"/>
      <c r="F122" s="602"/>
      <c r="G122" s="602"/>
      <c r="H122" s="602"/>
      <c r="I122" s="602"/>
      <c r="J122" s="602"/>
    </row>
    <row r="123" spans="1:23">
      <c r="A123" s="12"/>
      <c r="B123" s="12"/>
      <c r="C123" s="12"/>
      <c r="D123" s="12"/>
      <c r="E123" s="12"/>
      <c r="F123" s="12"/>
      <c r="G123" s="12"/>
      <c r="H123" s="12"/>
    </row>
    <row r="124" spans="1:23">
      <c r="A124" s="131"/>
      <c r="B124" s="131"/>
      <c r="C124" s="131"/>
      <c r="D124" s="132">
        <v>1</v>
      </c>
      <c r="E124" s="133">
        <f>(D124*5%)+D124</f>
        <v>1.05</v>
      </c>
      <c r="F124" s="133">
        <f t="shared" ref="F124:J124" si="51">(E124*5%)+E124</f>
        <v>1.1025</v>
      </c>
      <c r="G124" s="133">
        <f t="shared" si="51"/>
        <v>1.1576250000000001</v>
      </c>
      <c r="H124" s="133">
        <f t="shared" si="51"/>
        <v>1.2155062500000002</v>
      </c>
      <c r="I124" s="133">
        <f t="shared" si="51"/>
        <v>1.2762815625000004</v>
      </c>
      <c r="J124" s="133">
        <f t="shared" si="51"/>
        <v>1.3400956406250004</v>
      </c>
      <c r="K124" s="62"/>
      <c r="U124" s="62"/>
      <c r="V124" s="62"/>
      <c r="W124" s="62"/>
    </row>
    <row r="125" spans="1:23">
      <c r="A125" s="62"/>
      <c r="B125" s="62"/>
      <c r="C125" s="62"/>
      <c r="D125" s="62"/>
      <c r="E125" s="62"/>
      <c r="F125" s="62"/>
      <c r="G125" s="62"/>
      <c r="H125" s="62"/>
      <c r="I125" s="62"/>
      <c r="J125" s="62"/>
      <c r="K125" s="62"/>
      <c r="U125" s="62"/>
      <c r="V125" s="62"/>
      <c r="W125" s="62"/>
    </row>
    <row r="126" spans="1:23">
      <c r="A126" s="103" t="s">
        <v>0</v>
      </c>
      <c r="B126" s="103" t="s">
        <v>128</v>
      </c>
      <c r="C126" s="103" t="s">
        <v>148</v>
      </c>
      <c r="D126" s="83" t="s">
        <v>2</v>
      </c>
      <c r="E126" s="83" t="s">
        <v>3</v>
      </c>
      <c r="F126" s="83" t="s">
        <v>4</v>
      </c>
      <c r="G126" s="83" t="s">
        <v>5</v>
      </c>
      <c r="H126" s="83" t="s">
        <v>6</v>
      </c>
      <c r="I126" s="83" t="s">
        <v>164</v>
      </c>
      <c r="J126" s="83" t="s">
        <v>163</v>
      </c>
      <c r="K126" s="62"/>
      <c r="U126" s="62"/>
      <c r="V126" s="62"/>
      <c r="W126" s="62"/>
    </row>
    <row r="127" spans="1:23">
      <c r="A127" s="65" t="s">
        <v>124</v>
      </c>
      <c r="B127" s="63"/>
      <c r="C127" s="63"/>
      <c r="D127" s="63"/>
      <c r="E127" s="63"/>
      <c r="F127" s="63"/>
      <c r="G127" s="63"/>
      <c r="H127" s="63"/>
      <c r="I127" s="63"/>
      <c r="J127" s="63"/>
      <c r="K127" s="62"/>
      <c r="U127" s="62"/>
      <c r="V127" s="62"/>
      <c r="W127" s="62"/>
    </row>
    <row r="128" spans="1:23">
      <c r="A128" s="63" t="s">
        <v>278</v>
      </c>
      <c r="B128" s="63"/>
      <c r="C128" s="63"/>
      <c r="D128" s="63"/>
      <c r="E128" s="63"/>
      <c r="F128" s="63"/>
      <c r="G128" s="63"/>
      <c r="H128" s="63"/>
      <c r="I128" s="63"/>
      <c r="J128" s="63"/>
      <c r="K128" s="62"/>
      <c r="U128" s="62"/>
      <c r="V128" s="62"/>
      <c r="W128" s="62"/>
    </row>
    <row r="129" spans="1:23">
      <c r="A129" s="65" t="str">
        <f t="shared" ref="A129:A160" si="52">A8</f>
        <v>Kharif Crops</v>
      </c>
      <c r="B129" s="63"/>
      <c r="C129" s="63"/>
      <c r="D129" s="63"/>
      <c r="E129" s="63"/>
      <c r="F129" s="63"/>
      <c r="G129" s="63"/>
      <c r="H129" s="63"/>
      <c r="I129" s="63"/>
      <c r="J129" s="63"/>
      <c r="K129" s="62"/>
      <c r="U129" s="62"/>
      <c r="V129" s="62"/>
      <c r="W129" s="62"/>
    </row>
    <row r="130" spans="1:23">
      <c r="A130" s="63" t="str">
        <f t="shared" si="52"/>
        <v>Soybean</v>
      </c>
      <c r="B130" s="63"/>
      <c r="C130" s="164">
        <v>90</v>
      </c>
      <c r="D130" s="64">
        <f>(C62*(1-'5.Closing Stock &amp; W Capital'!$D$15))*$C$130*D$124</f>
        <v>0</v>
      </c>
      <c r="E130" s="64">
        <f>(D62*(1-'5.Closing Stock &amp; W Capital'!$D$15))*$C$130*E$124</f>
        <v>0</v>
      </c>
      <c r="F130" s="64">
        <f>(E62*(1-'5.Closing Stock &amp; W Capital'!$D$15))*$C$130*F$124</f>
        <v>0</v>
      </c>
      <c r="G130" s="64">
        <f>(F62*(1-'5.Closing Stock &amp; W Capital'!$D$15))*$C$130*G$124</f>
        <v>0</v>
      </c>
      <c r="H130" s="64">
        <f>(G62*(1-'5.Closing Stock &amp; W Capital'!$D$15))*$C$130*H$124</f>
        <v>0</v>
      </c>
      <c r="I130" s="64">
        <f>(H62*(1-'5.Closing Stock &amp; W Capital'!$D$15))*$C$130*I$124</f>
        <v>0</v>
      </c>
      <c r="J130" s="64">
        <f>(I62*(1-'5.Closing Stock &amp; W Capital'!$D$15))*$C$130*J$124</f>
        <v>0</v>
      </c>
      <c r="K130" s="62"/>
      <c r="U130" s="62"/>
      <c r="V130" s="62"/>
      <c r="W130" s="62"/>
    </row>
    <row r="131" spans="1:23">
      <c r="A131" s="63" t="str">
        <f t="shared" si="52"/>
        <v>Red Gram/Tur</v>
      </c>
      <c r="B131" s="63"/>
      <c r="C131" s="187">
        <v>80</v>
      </c>
      <c r="D131" s="64">
        <f>(C63*(1-'5.Closing Stock &amp; W Capital'!$D$15))*$C$131*D$124</f>
        <v>0</v>
      </c>
      <c r="E131" s="64">
        <f>((D63*(1-'5.Closing Stock &amp; W Capital'!$D$15))+(C63*'5.Closing Stock &amp; W Capital'!$D$15))*$C$131*E$124</f>
        <v>0</v>
      </c>
      <c r="F131" s="64">
        <f>((E63*(1-'5.Closing Stock &amp; W Capital'!$D$15))+(D63*'5.Closing Stock &amp; W Capital'!$D$15))*$C$131*F$124</f>
        <v>0</v>
      </c>
      <c r="G131" s="64">
        <f>((F63*(1-'5.Closing Stock &amp; W Capital'!$D$15))+(E63*'5.Closing Stock &amp; W Capital'!$D$15))*$C$131*G124</f>
        <v>0</v>
      </c>
      <c r="H131" s="64">
        <f>((G63*(1-'5.Closing Stock &amp; W Capital'!$D$15))+(F63*'5.Closing Stock &amp; W Capital'!$D$15))*$C$131*H124</f>
        <v>0</v>
      </c>
      <c r="I131" s="64">
        <f>((H63*(1-'5.Closing Stock &amp; W Capital'!$D$15))+(G63*'5.Closing Stock &amp; W Capital'!$D$15))*$C$131*I124</f>
        <v>0</v>
      </c>
      <c r="J131" s="64">
        <f>((I63*(1-'5.Closing Stock &amp; W Capital'!$D$15))+(H63*'5.Closing Stock &amp; W Capital'!$D$15))*$C$131*J124</f>
        <v>0</v>
      </c>
      <c r="K131" s="62"/>
      <c r="U131" s="124"/>
      <c r="V131" s="62"/>
      <c r="W131" s="62"/>
    </row>
    <row r="132" spans="1:23">
      <c r="A132" s="63" t="str">
        <f t="shared" si="52"/>
        <v>Paddy/Rice</v>
      </c>
      <c r="B132" s="63"/>
      <c r="C132" s="187">
        <v>65</v>
      </c>
      <c r="D132" s="64">
        <f>(C64*(1-'5.Closing Stock &amp; W Capital'!$D$15))*$C$132*D$124</f>
        <v>0</v>
      </c>
      <c r="E132" s="64">
        <f>((D64*(1-'5.Closing Stock &amp; W Capital'!$D$15))+(C64*'5.Closing Stock &amp; W Capital'!$D$15))*$C$132*E$124</f>
        <v>0</v>
      </c>
      <c r="F132" s="64">
        <f>((E64*(1-'5.Closing Stock &amp; W Capital'!$D$15))+(D64*'5.Closing Stock &amp; W Capital'!$D$15))*$C$132*F$124</f>
        <v>0</v>
      </c>
      <c r="G132" s="64">
        <f>((F64*(1-'5.Closing Stock &amp; W Capital'!$D$15))+(E64*'5.Closing Stock &amp; W Capital'!$D$15))*$C$132*G124</f>
        <v>0</v>
      </c>
      <c r="H132" s="64">
        <f>((G64*(1-'5.Closing Stock &amp; W Capital'!$D$15))+(F64*'5.Closing Stock &amp; W Capital'!$D$15))*$C$132*H124</f>
        <v>0</v>
      </c>
      <c r="I132" s="64">
        <f>((H64*(1-'5.Closing Stock &amp; W Capital'!$D$15))+(G64*'5.Closing Stock &amp; W Capital'!$D$15))*$C$132*I124</f>
        <v>0</v>
      </c>
      <c r="J132" s="64">
        <f>((I64*(1-'5.Closing Stock &amp; W Capital'!$D$15))+(H64*'5.Closing Stock &amp; W Capital'!$D$15))*$C$132*J124</f>
        <v>0</v>
      </c>
      <c r="K132" s="62"/>
      <c r="U132" s="62"/>
      <c r="V132" s="62"/>
      <c r="W132" s="62"/>
    </row>
    <row r="133" spans="1:23">
      <c r="A133" s="63" t="str">
        <f t="shared" si="52"/>
        <v>Green Gram/ Moong</v>
      </c>
      <c r="B133" s="63"/>
      <c r="C133" s="187">
        <v>85</v>
      </c>
      <c r="D133" s="64">
        <f>(C65*(1-'5.Closing Stock &amp; W Capital'!$D$15))*$C$133*D$124</f>
        <v>0</v>
      </c>
      <c r="E133" s="64">
        <f>((D65*(1-'5.Closing Stock &amp; W Capital'!$D$15))+(C65*'5.Closing Stock &amp; W Capital'!$D$15))*$C$133*E$124</f>
        <v>0</v>
      </c>
      <c r="F133" s="64">
        <f>((E65*(1-'5.Closing Stock &amp; W Capital'!$D$15))+(D65*'5.Closing Stock &amp; W Capital'!$D$15))*$C$133*F$124</f>
        <v>0</v>
      </c>
      <c r="G133" s="64">
        <f>((F65*(1-'5.Closing Stock &amp; W Capital'!$D$15))+(E65*'5.Closing Stock &amp; W Capital'!$D$15))*$C$133*G$124</f>
        <v>0</v>
      </c>
      <c r="H133" s="64">
        <f>((G65*(1-'5.Closing Stock &amp; W Capital'!$D$15))+(F65*'5.Closing Stock &amp; W Capital'!$D$15))*$C$133*H$124</f>
        <v>0</v>
      </c>
      <c r="I133" s="64">
        <f>((H65*(1-'5.Closing Stock &amp; W Capital'!$D$15))+(G65*'5.Closing Stock &amp; W Capital'!$D$15))*$C$133*I$124</f>
        <v>0</v>
      </c>
      <c r="J133" s="64">
        <f>((I65*(1-'5.Closing Stock &amp; W Capital'!$D$15))+(H65*'5.Closing Stock &amp; W Capital'!$D$15))*$C$133*J$124</f>
        <v>0</v>
      </c>
      <c r="K133" s="62"/>
      <c r="U133" s="62"/>
      <c r="V133" s="62"/>
      <c r="W133" s="62"/>
    </row>
    <row r="134" spans="1:23">
      <c r="A134" s="63" t="str">
        <f t="shared" si="52"/>
        <v>Maize</v>
      </c>
      <c r="B134" s="63"/>
      <c r="C134" s="187">
        <v>37</v>
      </c>
      <c r="D134" s="64">
        <f>(C66*(1-'5.Closing Stock &amp; W Capital'!$D$15))*$C$134*D$124</f>
        <v>0</v>
      </c>
      <c r="E134" s="64">
        <f>((D66*(1-'5.Closing Stock &amp; W Capital'!$D$15))+(C66*'5.Closing Stock &amp; W Capital'!$D$15))*$C$135*E$124</f>
        <v>0</v>
      </c>
      <c r="F134" s="64">
        <f>((E66*(1-'5.Closing Stock &amp; W Capital'!$D$15))+(D66*'5.Closing Stock &amp; W Capital'!$D$15))*$C$135*F$124</f>
        <v>0</v>
      </c>
      <c r="G134" s="64">
        <f>((F66*(1-'5.Closing Stock &amp; W Capital'!$D$15))+(E66*'5.Closing Stock &amp; W Capital'!$D$15))*$C$135*G$124</f>
        <v>0</v>
      </c>
      <c r="H134" s="64">
        <f>((G66*(1-'5.Closing Stock &amp; W Capital'!$D$15))+(F66*'5.Closing Stock &amp; W Capital'!$D$15))*$C$135*H$124</f>
        <v>0</v>
      </c>
      <c r="I134" s="64">
        <f>((H66*(1-'5.Closing Stock &amp; W Capital'!$D$15))+(G66*'5.Closing Stock &amp; W Capital'!$D$15))*$C$135*I$124</f>
        <v>0</v>
      </c>
      <c r="J134" s="64">
        <f>((I66*(1-'5.Closing Stock &amp; W Capital'!$D$15))+(H66*'5.Closing Stock &amp; W Capital'!$D$15))*$C$135*J$124</f>
        <v>0</v>
      </c>
      <c r="K134" s="62"/>
      <c r="U134" s="62"/>
      <c r="V134" s="62"/>
      <c r="W134" s="62"/>
    </row>
    <row r="135" spans="1:23">
      <c r="A135" s="63" t="str">
        <f t="shared" si="52"/>
        <v>Black Gram/Udid</v>
      </c>
      <c r="B135" s="63"/>
      <c r="C135" s="187">
        <v>75</v>
      </c>
      <c r="D135" s="64">
        <f>(C67*(1-'5.Closing Stock &amp; W Capital'!$D$15))*$C$135*D$124</f>
        <v>0</v>
      </c>
      <c r="E135" s="64">
        <f>((D67*(1-'5.Closing Stock &amp; W Capital'!$D$15))+(C67*'5.Closing Stock &amp; W Capital'!$D$15))*$C$135*E$124</f>
        <v>0</v>
      </c>
      <c r="F135" s="64">
        <f>((E67*(1-'5.Closing Stock &amp; W Capital'!$D$15))+(D67*'5.Closing Stock &amp; W Capital'!$D$15))*$C$135*F$124</f>
        <v>0</v>
      </c>
      <c r="G135" s="64">
        <f>((F67*(1-'5.Closing Stock &amp; W Capital'!$D$15))+(E67*'5.Closing Stock &amp; W Capital'!$D$15))*$C$135*G$124</f>
        <v>0</v>
      </c>
      <c r="H135" s="64">
        <f>((G67*(1-'5.Closing Stock &amp; W Capital'!$D$15))+(F67*'5.Closing Stock &amp; W Capital'!$D$15))*$C$135*H$124</f>
        <v>0</v>
      </c>
      <c r="I135" s="64">
        <f>((H67*(1-'5.Closing Stock &amp; W Capital'!$D$15))+(G67*'5.Closing Stock &amp; W Capital'!$D$15))*$C$135*I$124</f>
        <v>0</v>
      </c>
      <c r="J135" s="64">
        <f>((I67*(1-'5.Closing Stock &amp; W Capital'!$D$15))+(H67*'5.Closing Stock &amp; W Capital'!$D$15))*$C$135*J$124</f>
        <v>0</v>
      </c>
      <c r="K135" s="62"/>
      <c r="U135" s="62"/>
      <c r="V135" s="62"/>
      <c r="W135" s="62"/>
    </row>
    <row r="136" spans="1:23">
      <c r="A136" s="63" t="str">
        <f t="shared" si="52"/>
        <v>Bajra</v>
      </c>
      <c r="B136" s="63"/>
      <c r="C136" s="187">
        <v>30</v>
      </c>
      <c r="D136" s="64">
        <f>(C68*(1-'5.Closing Stock &amp; W Capital'!$D$15))*$C$136*D$124</f>
        <v>0</v>
      </c>
      <c r="E136" s="64">
        <f>((D68*(1-'5.Closing Stock &amp; W Capital'!$D$15))+(C68*'5.Closing Stock &amp; W Capital'!$D$15))*$C$136*E$124</f>
        <v>0</v>
      </c>
      <c r="F136" s="64">
        <f>((E68*(1-'5.Closing Stock &amp; W Capital'!$D$15))+(D68*'5.Closing Stock &amp; W Capital'!$D$15))*$C$136*F$124</f>
        <v>0</v>
      </c>
      <c r="G136" s="64">
        <f>((F68*(1-'5.Closing Stock &amp; W Capital'!$D$15))+(E68*'5.Closing Stock &amp; W Capital'!$D$15))*$C$136*G$124</f>
        <v>0</v>
      </c>
      <c r="H136" s="64">
        <f>((G68*(1-'5.Closing Stock &amp; W Capital'!$D$15))+(F68*'5.Closing Stock &amp; W Capital'!$D$15))*$C$136*H$124</f>
        <v>0</v>
      </c>
      <c r="I136" s="64">
        <f>((H68*(1-'5.Closing Stock &amp; W Capital'!$D$15))+(G68*'5.Closing Stock &amp; W Capital'!$D$15))*$C$136*I$124</f>
        <v>0</v>
      </c>
      <c r="J136" s="64">
        <f>((I68*(1-'5.Closing Stock &amp; W Capital'!$D$15))+(H68*'5.Closing Stock &amp; W Capital'!$D$15))*$C$136*J$124</f>
        <v>0</v>
      </c>
      <c r="K136" s="62"/>
      <c r="U136" s="62"/>
      <c r="V136" s="62"/>
      <c r="W136" s="62"/>
    </row>
    <row r="137" spans="1:23">
      <c r="A137" s="63" t="str">
        <f t="shared" si="52"/>
        <v>Jawar</v>
      </c>
      <c r="B137" s="63"/>
      <c r="C137" s="187">
        <v>30</v>
      </c>
      <c r="D137" s="64">
        <f>(C69*(1-'5.Closing Stock &amp; W Capital'!$D$15))*$C$137*D$124</f>
        <v>0</v>
      </c>
      <c r="E137" s="64">
        <f>((D69*(1-'5.Closing Stock &amp; W Capital'!$D$15))+(C69*'5.Closing Stock &amp; W Capital'!$D$15))*$C$137*E$124</f>
        <v>0</v>
      </c>
      <c r="F137" s="64">
        <f>((E69*(1-'5.Closing Stock &amp; W Capital'!$D$15))+(D69*'5.Closing Stock &amp; W Capital'!$D$15))*$C$137*F$124</f>
        <v>0</v>
      </c>
      <c r="G137" s="64">
        <f>((F69*(1-'5.Closing Stock &amp; W Capital'!$D$15))+(E69*'5.Closing Stock &amp; W Capital'!$D$15))*$C$137*G$124</f>
        <v>0</v>
      </c>
      <c r="H137" s="64">
        <f>((G69*(1-'5.Closing Stock &amp; W Capital'!$D$15))+(F69*'5.Closing Stock &amp; W Capital'!$D$15))*$C$137*H$124</f>
        <v>0</v>
      </c>
      <c r="I137" s="64">
        <f>((H69*(1-'5.Closing Stock &amp; W Capital'!$D$15))+(G69*'5.Closing Stock &amp; W Capital'!$D$15))*$C$137*I$124</f>
        <v>0</v>
      </c>
      <c r="J137" s="64">
        <f>((I69*(1-'5.Closing Stock &amp; W Capital'!$D$15))+(H69*'5.Closing Stock &amp; W Capital'!$D$15))*$C$137*J$124</f>
        <v>0</v>
      </c>
      <c r="K137" s="62"/>
      <c r="U137" s="62"/>
      <c r="V137" s="62"/>
      <c r="W137" s="62"/>
    </row>
    <row r="138" spans="1:23">
      <c r="A138" s="65" t="str">
        <f t="shared" si="52"/>
        <v>Rabi Crop</v>
      </c>
      <c r="B138" s="63"/>
      <c r="C138" s="187"/>
      <c r="D138" s="64"/>
      <c r="E138" s="64"/>
      <c r="F138" s="64"/>
      <c r="G138" s="64"/>
      <c r="H138" s="64"/>
      <c r="I138" s="64"/>
      <c r="J138" s="64"/>
      <c r="K138" s="62"/>
      <c r="U138" s="62"/>
      <c r="V138" s="62"/>
      <c r="W138" s="62"/>
    </row>
    <row r="139" spans="1:23">
      <c r="A139" s="63">
        <f t="shared" si="52"/>
        <v>0</v>
      </c>
      <c r="B139" s="63"/>
      <c r="C139" s="187">
        <v>40</v>
      </c>
      <c r="D139" s="64">
        <f>(C71*(1-'5.Closing Stock &amp; W Capital'!$D$15))*$C$139*D$124</f>
        <v>0</v>
      </c>
      <c r="E139" s="64">
        <f>((D71*(1-'5.Closing Stock &amp; W Capital'!$D$15))+(C71*'5.Closing Stock &amp; W Capital'!$D$15))*$C$139*E$124</f>
        <v>0</v>
      </c>
      <c r="F139" s="64">
        <f>((E71*(1-'5.Closing Stock &amp; W Capital'!$D$15))+(D71*'5.Closing Stock &amp; W Capital'!$D$15))*$C$139*F$124</f>
        <v>0</v>
      </c>
      <c r="G139" s="64">
        <f>((F71*(1-'5.Closing Stock &amp; W Capital'!$D$15))+(E71*'5.Closing Stock &amp; W Capital'!$D$15))*$C$139*G$124</f>
        <v>0</v>
      </c>
      <c r="H139" s="64">
        <f>((G71*(1-'5.Closing Stock &amp; W Capital'!$D$15))+(F71*'5.Closing Stock &amp; W Capital'!$D$15))*$C$139*H$124</f>
        <v>0</v>
      </c>
      <c r="I139" s="64">
        <f>((H71*(1-'5.Closing Stock &amp; W Capital'!$D$15))+(G71*'5.Closing Stock &amp; W Capital'!$D$15))*$C$139*I$124</f>
        <v>0</v>
      </c>
      <c r="J139" s="64">
        <f>((I71*(1-'5.Closing Stock &amp; W Capital'!$D$15))+(H71*'5.Closing Stock &amp; W Capital'!$D$15))*$C$139*J$124</f>
        <v>0</v>
      </c>
      <c r="K139" s="62"/>
      <c r="U139" s="62"/>
      <c r="V139" s="62"/>
      <c r="W139" s="62"/>
    </row>
    <row r="140" spans="1:23">
      <c r="A140" s="63">
        <f t="shared" si="52"/>
        <v>0</v>
      </c>
      <c r="B140" s="63"/>
      <c r="C140" s="187">
        <v>75</v>
      </c>
      <c r="D140" s="64">
        <f>(C72*(1-'5.Closing Stock &amp; W Capital'!$D$15))*$C$140*D$124</f>
        <v>0</v>
      </c>
      <c r="E140" s="64">
        <f>((D72*(1-'5.Closing Stock &amp; W Capital'!$D$15))+(C72*'5.Closing Stock &amp; W Capital'!$D$15))*$C$140*E$124</f>
        <v>0</v>
      </c>
      <c r="F140" s="64">
        <f>((E72*(1-'5.Closing Stock &amp; W Capital'!$D$15))+(D72*'5.Closing Stock &amp; W Capital'!$D$15))*$C$140*F$124</f>
        <v>0</v>
      </c>
      <c r="G140" s="64">
        <f>((F72*(1-'5.Closing Stock &amp; W Capital'!$D$15))+(E72*'5.Closing Stock &amp; W Capital'!$D$15))*$C$140*G$124</f>
        <v>0</v>
      </c>
      <c r="H140" s="64">
        <f>((G72*(1-'5.Closing Stock &amp; W Capital'!$D$15))+(F72*'5.Closing Stock &amp; W Capital'!$D$15))*$C$140*H$124</f>
        <v>0</v>
      </c>
      <c r="I140" s="64">
        <f>((H72*(1-'5.Closing Stock &amp; W Capital'!$D$15))+(G72*'5.Closing Stock &amp; W Capital'!$D$15))*$C$140*I$124</f>
        <v>0</v>
      </c>
      <c r="J140" s="64">
        <f>((I72*(1-'5.Closing Stock &amp; W Capital'!$D$15))+(H72*'5.Closing Stock &amp; W Capital'!$D$15))*$C$140*J$124</f>
        <v>0</v>
      </c>
      <c r="K140" s="62"/>
      <c r="U140" s="62"/>
      <c r="V140" s="62"/>
      <c r="W140" s="62"/>
    </row>
    <row r="141" spans="1:23">
      <c r="A141" s="63">
        <f t="shared" si="52"/>
        <v>0</v>
      </c>
      <c r="B141" s="63"/>
      <c r="C141" s="187">
        <v>27</v>
      </c>
      <c r="D141" s="64">
        <f>(C73*(1-'5.Closing Stock &amp; W Capital'!$D$15))*$C$141*D$124</f>
        <v>0</v>
      </c>
      <c r="E141" s="64">
        <f>((D73*(1-'5.Closing Stock &amp; W Capital'!$D$15))+(C73*'5.Closing Stock &amp; W Capital'!$D$15))*$C$141*E$124</f>
        <v>0</v>
      </c>
      <c r="F141" s="64">
        <f>((E73*(1-'5.Closing Stock &amp; W Capital'!$D$15))+(D73*'5.Closing Stock &amp; W Capital'!$D$15))*$C$141*F$124</f>
        <v>0</v>
      </c>
      <c r="G141" s="64">
        <f>((F73*(1-'5.Closing Stock &amp; W Capital'!$D$15))+(E73*'5.Closing Stock &amp; W Capital'!$D$15))*$C$141*G$124</f>
        <v>0</v>
      </c>
      <c r="H141" s="64">
        <f>((G73*(1-'5.Closing Stock &amp; W Capital'!$D$15))+(F73*'5.Closing Stock &amp; W Capital'!$D$15))*$C$141*H$124</f>
        <v>0</v>
      </c>
      <c r="I141" s="64">
        <f>((H73*(1-'5.Closing Stock &amp; W Capital'!$D$15))+(G73*'5.Closing Stock &amp; W Capital'!$D$15))*$C$141*I$124</f>
        <v>0</v>
      </c>
      <c r="J141" s="64">
        <f>((I73*(1-'5.Closing Stock &amp; W Capital'!$D$15))+(H73*'5.Closing Stock &amp; W Capital'!$D$15))*$C$141*J$124</f>
        <v>0</v>
      </c>
      <c r="K141" s="62"/>
      <c r="U141" s="62"/>
      <c r="V141" s="62"/>
      <c r="W141" s="62"/>
    </row>
    <row r="142" spans="1:23">
      <c r="A142" s="63">
        <f t="shared" si="52"/>
        <v>0</v>
      </c>
      <c r="B142" s="63"/>
      <c r="C142" s="187">
        <v>27</v>
      </c>
      <c r="D142" s="64">
        <f>(C74*(1-'5.Closing Stock &amp; W Capital'!$D$15))*$C$142*D$124</f>
        <v>0</v>
      </c>
      <c r="E142" s="64">
        <f>((D74*(1-'5.Closing Stock &amp; W Capital'!$D$15))+(C74*'5.Closing Stock &amp; W Capital'!$D$15))*$C$142*E$124</f>
        <v>0</v>
      </c>
      <c r="F142" s="64">
        <f>((E74*(1-'5.Closing Stock &amp; W Capital'!$D$15))+(D74*'5.Closing Stock &amp; W Capital'!$D$15))*$C$142*F$124</f>
        <v>0</v>
      </c>
      <c r="G142" s="64">
        <f>((F74*(1-'5.Closing Stock &amp; W Capital'!$D$15))+(E74*'5.Closing Stock &amp; W Capital'!$D$15))*$C$142*G$124</f>
        <v>0</v>
      </c>
      <c r="H142" s="64">
        <f>((G74*(1-'5.Closing Stock &amp; W Capital'!$D$15))+(F74*'5.Closing Stock &amp; W Capital'!$D$15))*$C$142*H$124</f>
        <v>0</v>
      </c>
      <c r="I142" s="64">
        <f>((H74*(1-'5.Closing Stock &amp; W Capital'!$D$15))+(G74*'5.Closing Stock &amp; W Capital'!$D$15))*$C$142*I$124</f>
        <v>0</v>
      </c>
      <c r="J142" s="64">
        <f>((I74*(1-'5.Closing Stock &amp; W Capital'!$D$15))+(H74*'5.Closing Stock &amp; W Capital'!$D$15))*$C$142*J$124</f>
        <v>0</v>
      </c>
      <c r="K142" s="62"/>
      <c r="U142" s="62"/>
      <c r="V142" s="62"/>
      <c r="W142" s="62"/>
    </row>
    <row r="143" spans="1:23">
      <c r="A143" s="63">
        <f t="shared" si="52"/>
        <v>0</v>
      </c>
      <c r="B143" s="63"/>
      <c r="C143" s="187"/>
      <c r="D143" s="64">
        <f>(C75*(1-'5.Closing Stock &amp; W Capital'!$D$15))*$C$143*D$124</f>
        <v>0</v>
      </c>
      <c r="E143" s="64">
        <f>((D75*(1-'5.Closing Stock &amp; W Capital'!$D$15))+(C75*'5.Closing Stock &amp; W Capital'!$D$15))*$C$143*E$124</f>
        <v>0</v>
      </c>
      <c r="F143" s="64">
        <f>((E75*(1-'5.Closing Stock &amp; W Capital'!$D$15))+(D75*'5.Closing Stock &amp; W Capital'!$D$15))*$C$143*F$124</f>
        <v>0</v>
      </c>
      <c r="G143" s="64">
        <f>((F75*(1-'5.Closing Stock &amp; W Capital'!$D$15))+(E75*'5.Closing Stock &amp; W Capital'!$D$15))*$C$143*G$124</f>
        <v>0</v>
      </c>
      <c r="H143" s="64">
        <f>((G75*(1-'5.Closing Stock &amp; W Capital'!$D$15))+(F75*'5.Closing Stock &amp; W Capital'!$D$15))*$C$143*H$124</f>
        <v>0</v>
      </c>
      <c r="I143" s="64">
        <f>((H75*(1-'5.Closing Stock &amp; W Capital'!$D$15))+(G75*'5.Closing Stock &amp; W Capital'!$D$15))*$C$143*I$124</f>
        <v>0</v>
      </c>
      <c r="J143" s="64">
        <f>((I75*(1-'5.Closing Stock &amp; W Capital'!$D$15))+(H75*'5.Closing Stock &amp; W Capital'!$D$15))*$C$143*J$124</f>
        <v>0</v>
      </c>
      <c r="K143" s="62"/>
      <c r="U143" s="62"/>
      <c r="V143" s="62"/>
      <c r="W143" s="62"/>
    </row>
    <row r="144" spans="1:23">
      <c r="A144" s="63">
        <f t="shared" si="52"/>
        <v>0</v>
      </c>
      <c r="B144" s="63"/>
      <c r="C144" s="187"/>
      <c r="D144" s="64">
        <f>(C76*(1-'5.Closing Stock &amp; W Capital'!$D$15))*$C$144*D$124</f>
        <v>0</v>
      </c>
      <c r="E144" s="64">
        <f>((D76*(1-'5.Closing Stock &amp; W Capital'!$D$15))+(C76*'5.Closing Stock &amp; W Capital'!$D$15))*$C$144*E$124</f>
        <v>0</v>
      </c>
      <c r="F144" s="64">
        <f>((E76*(1-'5.Closing Stock &amp; W Capital'!$D$15))+(D76*'5.Closing Stock &amp; W Capital'!$D$15))*$C$144*F$124</f>
        <v>0</v>
      </c>
      <c r="G144" s="64">
        <f>((F76*(1-'5.Closing Stock &amp; W Capital'!$D$15))+(E76*'5.Closing Stock &amp; W Capital'!$D$15))*$C$144*G$124</f>
        <v>0</v>
      </c>
      <c r="H144" s="64">
        <f>((G76*(1-'5.Closing Stock &amp; W Capital'!$D$15))+(F76*'5.Closing Stock &amp; W Capital'!$D$15))*$C$144*H$124</f>
        <v>0</v>
      </c>
      <c r="I144" s="64">
        <f>((H76*(1-'5.Closing Stock &amp; W Capital'!$D$15))+(G76*'5.Closing Stock &amp; W Capital'!$D$15))*$C$144*I$124</f>
        <v>0</v>
      </c>
      <c r="J144" s="64">
        <f>((I76*(1-'5.Closing Stock &amp; W Capital'!$D$15))+(H76*'5.Closing Stock &amp; W Capital'!$D$15))*$C$144*J$124</f>
        <v>0</v>
      </c>
      <c r="K144" s="62"/>
      <c r="U144" s="62"/>
      <c r="V144" s="62"/>
      <c r="W144" s="62"/>
    </row>
    <row r="145" spans="1:23">
      <c r="A145" s="63">
        <f t="shared" si="52"/>
        <v>0</v>
      </c>
      <c r="B145" s="63"/>
      <c r="C145" s="187"/>
      <c r="D145" s="64">
        <f>(C77*(1-'5.Closing Stock &amp; W Capital'!$D$15))*$C$145*D$124</f>
        <v>0</v>
      </c>
      <c r="E145" s="64">
        <f>((D77*(1-'5.Closing Stock &amp; W Capital'!$D$15))+(C77*'5.Closing Stock &amp; W Capital'!$D$15))*$C$145*E$124</f>
        <v>0</v>
      </c>
      <c r="F145" s="64">
        <f>((E77*(1-'5.Closing Stock &amp; W Capital'!$D$15))+(D77*'5.Closing Stock &amp; W Capital'!$D$15))*$C$145*F$124</f>
        <v>0</v>
      </c>
      <c r="G145" s="64">
        <f>((F77*(1-'5.Closing Stock &amp; W Capital'!$D$15))+(E77*'5.Closing Stock &amp; W Capital'!$D$15))*$C$145*G$124</f>
        <v>0</v>
      </c>
      <c r="H145" s="64">
        <f>((G77*(1-'5.Closing Stock &amp; W Capital'!$D$15))+(F77*'5.Closing Stock &amp; W Capital'!$D$15))*$C$145*H$124</f>
        <v>0</v>
      </c>
      <c r="I145" s="64">
        <f>((H77*(1-'5.Closing Stock &amp; W Capital'!$D$15))+(G77*'5.Closing Stock &amp; W Capital'!$D$15))*$C$145*I$124</f>
        <v>0</v>
      </c>
      <c r="J145" s="64">
        <f>((I77*(1-'5.Closing Stock &amp; W Capital'!$D$15))+(H77*'5.Closing Stock &amp; W Capital'!$D$15))*$C$145*J$124</f>
        <v>0</v>
      </c>
      <c r="K145" s="62"/>
      <c r="U145" s="62"/>
      <c r="V145" s="62"/>
      <c r="W145" s="62"/>
    </row>
    <row r="146" spans="1:23">
      <c r="A146" s="63">
        <f t="shared" si="52"/>
        <v>0</v>
      </c>
      <c r="B146" s="63"/>
      <c r="C146" s="187"/>
      <c r="D146" s="64">
        <f>(C78*(1-'5.Closing Stock &amp; W Capital'!$D$15))*$C$146*D$124</f>
        <v>0</v>
      </c>
      <c r="E146" s="64">
        <f>((D78*(1-'5.Closing Stock &amp; W Capital'!$D$15))+(C78*'5.Closing Stock &amp; W Capital'!$D$15))*$C$146*E$124</f>
        <v>0</v>
      </c>
      <c r="F146" s="64">
        <f>((E78*(1-'5.Closing Stock &amp; W Capital'!$D$15))+(D78*'5.Closing Stock &amp; W Capital'!$D$15))*$C$146*F$124</f>
        <v>0</v>
      </c>
      <c r="G146" s="64">
        <f>((F78*(1-'5.Closing Stock &amp; W Capital'!$D$15))+(E78*'5.Closing Stock &amp; W Capital'!$D$15))*$C$146*G$124</f>
        <v>0</v>
      </c>
      <c r="H146" s="64">
        <f>((G78*(1-'5.Closing Stock &amp; W Capital'!$D$15))+(F78*'5.Closing Stock &amp; W Capital'!$D$15))*$C$146*H$124</f>
        <v>0</v>
      </c>
      <c r="I146" s="64">
        <f>((H78*(1-'5.Closing Stock &amp; W Capital'!$D$15))+(G78*'5.Closing Stock &amp; W Capital'!$D$15))*$C$146*I$124</f>
        <v>0</v>
      </c>
      <c r="J146" s="64">
        <f>((I78*(1-'5.Closing Stock &amp; W Capital'!$D$15))+(H78*'5.Closing Stock &amp; W Capital'!$D$15))*$C$146*J$124</f>
        <v>0</v>
      </c>
      <c r="K146" s="62"/>
      <c r="U146" s="62"/>
      <c r="V146" s="62"/>
      <c r="W146" s="62"/>
    </row>
    <row r="147" spans="1:23">
      <c r="A147" s="65" t="str">
        <f t="shared" si="52"/>
        <v>Summer</v>
      </c>
      <c r="B147" s="63"/>
      <c r="C147" s="187"/>
      <c r="D147" s="64"/>
      <c r="E147" s="64"/>
      <c r="F147" s="64"/>
      <c r="G147" s="64"/>
      <c r="H147" s="64"/>
      <c r="I147" s="64"/>
      <c r="J147" s="64"/>
      <c r="K147" s="62"/>
      <c r="U147" s="62"/>
      <c r="V147" s="62"/>
      <c r="W147" s="62"/>
    </row>
    <row r="148" spans="1:23">
      <c r="A148" s="63" t="str">
        <f t="shared" si="52"/>
        <v>Groundnut</v>
      </c>
      <c r="B148" s="63"/>
      <c r="C148" s="187"/>
      <c r="D148" s="64">
        <f>(C80*(1-'5.Closing Stock &amp; W Capital'!$D$15))*$C$148*D$124</f>
        <v>0</v>
      </c>
      <c r="E148" s="64">
        <f>((D80*(1-'5.Closing Stock &amp; W Capital'!$D$15))+(C80*'5.Closing Stock &amp; W Capital'!$D$15))*$C$148*E$124</f>
        <v>0</v>
      </c>
      <c r="F148" s="64">
        <f>((E80*(1-'5.Closing Stock &amp; W Capital'!$D$15))+(D80*'5.Closing Stock &amp; W Capital'!$D$15))*$C$148*F$124</f>
        <v>0</v>
      </c>
      <c r="G148" s="64">
        <f>((F80*(1-'5.Closing Stock &amp; W Capital'!$D$15))+(E80*'5.Closing Stock &amp; W Capital'!$D$15))*$C$148*G$124</f>
        <v>0</v>
      </c>
      <c r="H148" s="64">
        <f>((G80*(1-'5.Closing Stock &amp; W Capital'!$D$15))+(F80*'5.Closing Stock &amp; W Capital'!$D$15))*$C$148*H$124</f>
        <v>0</v>
      </c>
      <c r="I148" s="64">
        <f>((H80*(1-'5.Closing Stock &amp; W Capital'!$D$15))+(G80*'5.Closing Stock &amp; W Capital'!$D$15))*$C$148*I$124</f>
        <v>0</v>
      </c>
      <c r="J148" s="64">
        <f>((I80*(1-'5.Closing Stock &amp; W Capital'!$D$15))+(H80*'5.Closing Stock &amp; W Capital'!$D$15))*$C$148*J$124</f>
        <v>0</v>
      </c>
      <c r="K148" s="62"/>
      <c r="U148" s="62"/>
      <c r="V148" s="62"/>
      <c r="W148" s="62"/>
    </row>
    <row r="149" spans="1:23">
      <c r="A149" s="63">
        <f t="shared" si="52"/>
        <v>0</v>
      </c>
      <c r="B149" s="63"/>
      <c r="C149" s="187"/>
      <c r="D149" s="64">
        <f>(C81*(1-'5.Closing Stock &amp; W Capital'!$D$15))*$C$149*D$124</f>
        <v>0</v>
      </c>
      <c r="E149" s="64">
        <f>((D81*(1-'5.Closing Stock &amp; W Capital'!$D$15))+(C81*'5.Closing Stock &amp; W Capital'!$D$15))*$C$149*E$124</f>
        <v>0</v>
      </c>
      <c r="F149" s="64">
        <f>((E81*(1-'5.Closing Stock &amp; W Capital'!$D$15))+(D81*'5.Closing Stock &amp; W Capital'!$D$15))*$C$149*F$124</f>
        <v>0</v>
      </c>
      <c r="G149" s="64">
        <f>((F81*(1-'5.Closing Stock &amp; W Capital'!$D$15))+(E81*'5.Closing Stock &amp; W Capital'!$D$15))*$C$149*G$124</f>
        <v>0</v>
      </c>
      <c r="H149" s="64">
        <f>((G81*(1-'5.Closing Stock &amp; W Capital'!$D$15))+(F81*'5.Closing Stock &amp; W Capital'!$D$15))*$C$149*H$124</f>
        <v>0</v>
      </c>
      <c r="I149" s="64">
        <f>((H81*(1-'5.Closing Stock &amp; W Capital'!$D$15))+(G81*'5.Closing Stock &amp; W Capital'!$D$15))*$C$149*I$124</f>
        <v>0</v>
      </c>
      <c r="J149" s="64">
        <f>((I81*(1-'5.Closing Stock &amp; W Capital'!$D$15))+(H81*'5.Closing Stock &amp; W Capital'!$D$15))*$C$149*J$124</f>
        <v>0</v>
      </c>
      <c r="K149" s="62"/>
      <c r="U149" s="62"/>
      <c r="V149" s="62"/>
      <c r="W149" s="62"/>
    </row>
    <row r="150" spans="1:23">
      <c r="A150" s="63">
        <f t="shared" si="52"/>
        <v>0</v>
      </c>
      <c r="B150" s="63"/>
      <c r="C150" s="187"/>
      <c r="D150" s="64">
        <f>(C82*(1-'5.Closing Stock &amp; W Capital'!$D$15))*$C$150*D$124</f>
        <v>0</v>
      </c>
      <c r="E150" s="64">
        <f>((D82*(1-'5.Closing Stock &amp; W Capital'!$D$15))+(C82*'5.Closing Stock &amp; W Capital'!$D$15))*$C$150*E$124</f>
        <v>0</v>
      </c>
      <c r="F150" s="64">
        <f>((E82*(1-'5.Closing Stock &amp; W Capital'!$D$15))+(D82*'5.Closing Stock &amp; W Capital'!$D$15))*$C$150*F$124</f>
        <v>0</v>
      </c>
      <c r="G150" s="64">
        <f>((F82*(1-'5.Closing Stock &amp; W Capital'!$D$15))+(E82*'5.Closing Stock &amp; W Capital'!$D$15))*$C$150*G$124</f>
        <v>0</v>
      </c>
      <c r="H150" s="64">
        <f>((G82*(1-'5.Closing Stock &amp; W Capital'!$D$15))+(F82*'5.Closing Stock &amp; W Capital'!$D$15))*$C$150*H$124</f>
        <v>0</v>
      </c>
      <c r="I150" s="64">
        <f>((H82*(1-'5.Closing Stock &amp; W Capital'!$D$15))+(G82*'5.Closing Stock &amp; W Capital'!$D$15))*$C$150*I$124</f>
        <v>0</v>
      </c>
      <c r="J150" s="64">
        <f>((I82*(1-'5.Closing Stock &amp; W Capital'!$D$15))+(H82*'5.Closing Stock &amp; W Capital'!$D$15))*$C$150*J$124</f>
        <v>0</v>
      </c>
      <c r="K150" s="62"/>
      <c r="U150" s="62"/>
      <c r="V150" s="62"/>
      <c r="W150" s="62"/>
    </row>
    <row r="151" spans="1:23">
      <c r="A151" s="63">
        <f t="shared" si="52"/>
        <v>0</v>
      </c>
      <c r="B151" s="63"/>
      <c r="C151" s="187"/>
      <c r="D151" s="64">
        <f>(C83*(1-'5.Closing Stock &amp; W Capital'!$D$15))*$C$151*D$124</f>
        <v>0</v>
      </c>
      <c r="E151" s="64">
        <f>((D83*(1-'5.Closing Stock &amp; W Capital'!$D$15))+(C83*'5.Closing Stock &amp; W Capital'!$D$15))*$C$151*E$124</f>
        <v>0</v>
      </c>
      <c r="F151" s="64">
        <f>((E83*(1-'5.Closing Stock &amp; W Capital'!$D$15))+(D83*'5.Closing Stock &amp; W Capital'!$D$15))*$C$151*F$124</f>
        <v>0</v>
      </c>
      <c r="G151" s="64">
        <f>((F83*(1-'5.Closing Stock &amp; W Capital'!$D$15))+(E83*'5.Closing Stock &amp; W Capital'!$D$15))*$C$151*G$124</f>
        <v>0</v>
      </c>
      <c r="H151" s="64">
        <f>((G83*(1-'5.Closing Stock &amp; W Capital'!$D$15))+(F83*'5.Closing Stock &amp; W Capital'!$D$15))*$C$151*H$124</f>
        <v>0</v>
      </c>
      <c r="I151" s="64">
        <f>((H83*(1-'5.Closing Stock &amp; W Capital'!$D$15))+(G83*'5.Closing Stock &amp; W Capital'!$D$15))*$C$151*I$124</f>
        <v>0</v>
      </c>
      <c r="J151" s="64">
        <f>((I83*(1-'5.Closing Stock &amp; W Capital'!$D$15))+(H83*'5.Closing Stock &amp; W Capital'!$D$15))*$C$151*J$124</f>
        <v>0</v>
      </c>
      <c r="K151" s="62"/>
      <c r="U151" s="62"/>
      <c r="V151" s="62"/>
      <c r="W151" s="62"/>
    </row>
    <row r="152" spans="1:23">
      <c r="A152" s="63">
        <f t="shared" si="52"/>
        <v>0</v>
      </c>
      <c r="B152" s="63"/>
      <c r="C152" s="187"/>
      <c r="D152" s="64">
        <f>(C84*(1-'5.Closing Stock &amp; W Capital'!$D$15))*$C$152*D$124</f>
        <v>0</v>
      </c>
      <c r="E152" s="64">
        <f>((D84*(1-'5.Closing Stock &amp; W Capital'!$D$15))+(C84*'5.Closing Stock &amp; W Capital'!$D$15))*$C$152*E$124</f>
        <v>0</v>
      </c>
      <c r="F152" s="64">
        <f>((E84*(1-'5.Closing Stock &amp; W Capital'!$D$15))+(D84*'5.Closing Stock &amp; W Capital'!$D$15))*$C$152*F$124</f>
        <v>0</v>
      </c>
      <c r="G152" s="64">
        <f>((F84*(1-'5.Closing Stock &amp; W Capital'!$D$15))+(E84*'5.Closing Stock &amp; W Capital'!$D$15))*$C$152*G$124</f>
        <v>0</v>
      </c>
      <c r="H152" s="64">
        <f>((G84*(1-'5.Closing Stock &amp; W Capital'!$D$15))+(F84*'5.Closing Stock &amp; W Capital'!$D$15))*$C$152*H$124</f>
        <v>0</v>
      </c>
      <c r="I152" s="64">
        <f>((H84*(1-'5.Closing Stock &amp; W Capital'!$D$15))+(G84*'5.Closing Stock &amp; W Capital'!$D$15))*$C$152*I$124</f>
        <v>0</v>
      </c>
      <c r="J152" s="64">
        <f>((I84*(1-'5.Closing Stock &amp; W Capital'!$D$15))+(H84*'5.Closing Stock &amp; W Capital'!$D$15))*$C$152*J$124</f>
        <v>0</v>
      </c>
      <c r="K152" s="62"/>
      <c r="U152" s="62"/>
      <c r="V152" s="62"/>
      <c r="W152" s="62"/>
    </row>
    <row r="153" spans="1:23">
      <c r="A153" s="63" t="str">
        <f t="shared" si="52"/>
        <v>Grain Crop Production Details</v>
      </c>
      <c r="B153" s="63"/>
      <c r="C153" s="187"/>
      <c r="D153" s="64"/>
      <c r="E153" s="64"/>
      <c r="F153" s="64"/>
      <c r="G153" s="64"/>
      <c r="H153" s="64"/>
      <c r="I153" s="64"/>
      <c r="J153" s="64"/>
      <c r="K153" s="62"/>
      <c r="U153" s="62"/>
      <c r="V153" s="62"/>
      <c r="W153" s="62"/>
    </row>
    <row r="154" spans="1:23">
      <c r="A154" s="63">
        <f t="shared" si="52"/>
        <v>0</v>
      </c>
      <c r="B154" s="63"/>
      <c r="C154" s="187"/>
      <c r="D154" s="64">
        <f>(C86*(1-'5.Closing Stock &amp; W Capital'!$D$15))*$C154*D$124</f>
        <v>0</v>
      </c>
      <c r="E154" s="64">
        <f>((D86*(1-'5.Closing Stock &amp; W Capital'!$D$15))+(C86*'5.Closing Stock &amp; W Capital'!$D$15))*$C154*E$124</f>
        <v>0</v>
      </c>
      <c r="F154" s="64">
        <f>((E86*(1-'5.Closing Stock &amp; W Capital'!$D$15))+(D86*'5.Closing Stock &amp; W Capital'!$D$15))*$C$152*F$124</f>
        <v>0</v>
      </c>
      <c r="G154" s="64">
        <f>((F86*(1-'5.Closing Stock &amp; W Capital'!$D$15))+(E86*'5.Closing Stock &amp; W Capital'!$D$15))*$C$152*G$124</f>
        <v>0</v>
      </c>
      <c r="H154" s="64">
        <f>((G86*(1-'5.Closing Stock &amp; W Capital'!$D$15))+(F86*'5.Closing Stock &amp; W Capital'!$D$15))*$C$152*H$124</f>
        <v>0</v>
      </c>
      <c r="I154" s="64">
        <f>((H86*(1-'5.Closing Stock &amp; W Capital'!$D$15))+(G86*'5.Closing Stock &amp; W Capital'!$D$15))*$C$152*I$124</f>
        <v>0</v>
      </c>
      <c r="J154" s="64">
        <f>((I86*(1-'5.Closing Stock &amp; W Capital'!$D$15))+(H86*'5.Closing Stock &amp; W Capital'!$D$15))*$C$152*J$124</f>
        <v>0</v>
      </c>
      <c r="K154" s="62"/>
      <c r="U154" s="62"/>
      <c r="V154" s="62"/>
      <c r="W154" s="62"/>
    </row>
    <row r="155" spans="1:23">
      <c r="A155" s="63" t="e">
        <f t="shared" si="52"/>
        <v>#REF!</v>
      </c>
      <c r="B155" s="63"/>
      <c r="C155" s="187"/>
      <c r="D155" s="64" t="e">
        <f>(C87*(1-'5.Closing Stock &amp; W Capital'!$D$15))*$C155*D$124</f>
        <v>#REF!</v>
      </c>
      <c r="E155" s="64" t="e">
        <f>((D87*(1-'5.Closing Stock &amp; W Capital'!$D$15))+(C87*'5.Closing Stock &amp; W Capital'!$D$15))*$C155*E$124</f>
        <v>#REF!</v>
      </c>
      <c r="F155" s="64" t="e">
        <f>((E87*(1-'5.Closing Stock &amp; W Capital'!$D$15))+(D87*'5.Closing Stock &amp; W Capital'!$D$15))*$C$152*F$124</f>
        <v>#REF!</v>
      </c>
      <c r="G155" s="64" t="e">
        <f>((F87*(1-'5.Closing Stock &amp; W Capital'!$D$15))+(E87*'5.Closing Stock &amp; W Capital'!$D$15))*$C$152*G$124</f>
        <v>#REF!</v>
      </c>
      <c r="H155" s="64" t="e">
        <f>((G87*(1-'5.Closing Stock &amp; W Capital'!$D$15))+(F87*'5.Closing Stock &amp; W Capital'!$D$15))*$C$152*H$124</f>
        <v>#REF!</v>
      </c>
      <c r="I155" s="64" t="e">
        <f>((H87*(1-'5.Closing Stock &amp; W Capital'!$D$15))+(G87*'5.Closing Stock &amp; W Capital'!$D$15))*$C$152*I$124</f>
        <v>#REF!</v>
      </c>
      <c r="J155" s="64" t="e">
        <f>((I87*(1-'5.Closing Stock &amp; W Capital'!$D$15))+(H87*'5.Closing Stock &amp; W Capital'!$D$15))*$C$152*J$124</f>
        <v>#REF!</v>
      </c>
      <c r="K155" s="62"/>
      <c r="U155" s="62"/>
      <c r="V155" s="62"/>
      <c r="W155" s="62"/>
    </row>
    <row r="156" spans="1:23">
      <c r="A156" s="63" t="e">
        <f t="shared" si="52"/>
        <v>#REF!</v>
      </c>
      <c r="B156" s="63"/>
      <c r="C156" s="187"/>
      <c r="D156" s="64" t="e">
        <f>(C88*(1-'5.Closing Stock &amp; W Capital'!$D$15))*$C156*D$124</f>
        <v>#REF!</v>
      </c>
      <c r="E156" s="64" t="e">
        <f>((D88*(1-'5.Closing Stock &amp; W Capital'!$D$15))+(C88*'5.Closing Stock &amp; W Capital'!$D$15))*$C156*E$124</f>
        <v>#REF!</v>
      </c>
      <c r="F156" s="64" t="e">
        <f>((E88*(1-'5.Closing Stock &amp; W Capital'!$D$15))+(D88*'5.Closing Stock &amp; W Capital'!$D$15))*$C$152*F$124</f>
        <v>#REF!</v>
      </c>
      <c r="G156" s="64" t="e">
        <f>((F88*(1-'5.Closing Stock &amp; W Capital'!$D$15))+(E88*'5.Closing Stock &amp; W Capital'!$D$15))*$C$152*G$124</f>
        <v>#REF!</v>
      </c>
      <c r="H156" s="64" t="e">
        <f>((G88*(1-'5.Closing Stock &amp; W Capital'!$D$15))+(F88*'5.Closing Stock &amp; W Capital'!$D$15))*$C$152*H$124</f>
        <v>#REF!</v>
      </c>
      <c r="I156" s="64" t="e">
        <f>((H88*(1-'5.Closing Stock &amp; W Capital'!$D$15))+(G88*'5.Closing Stock &amp; W Capital'!$D$15))*$C$152*I$124</f>
        <v>#REF!</v>
      </c>
      <c r="J156" s="64" t="e">
        <f>((I88*(1-'5.Closing Stock &amp; W Capital'!$D$15))+(H88*'5.Closing Stock &amp; W Capital'!$D$15))*$C$152*J$124</f>
        <v>#REF!</v>
      </c>
      <c r="K156" s="62"/>
      <c r="U156" s="62"/>
      <c r="V156" s="62"/>
      <c r="W156" s="62"/>
    </row>
    <row r="157" spans="1:23">
      <c r="A157" s="63" t="str">
        <f t="shared" si="52"/>
        <v>-</v>
      </c>
      <c r="B157" s="63"/>
      <c r="C157" s="187"/>
      <c r="D157" s="64">
        <f>(C89*(1-'5.Closing Stock &amp; W Capital'!$D$15))*$C157*D$124</f>
        <v>0</v>
      </c>
      <c r="E157" s="64">
        <f>((D89*(1-'5.Closing Stock &amp; W Capital'!$D$15))+(C89*'5.Closing Stock &amp; W Capital'!$D$15))*$C157*E$124</f>
        <v>0</v>
      </c>
      <c r="F157" s="64">
        <f>((E89*(1-'5.Closing Stock &amp; W Capital'!$D$15))+(D89*'5.Closing Stock &amp; W Capital'!$D$15))*$C$152*F$124</f>
        <v>0</v>
      </c>
      <c r="G157" s="64">
        <f>((F89*(1-'5.Closing Stock &amp; W Capital'!$D$15))+(E89*'5.Closing Stock &amp; W Capital'!$D$15))*$C$152*G$124</f>
        <v>0</v>
      </c>
      <c r="H157" s="64">
        <f>((G89*(1-'5.Closing Stock &amp; W Capital'!$D$15))+(F89*'5.Closing Stock &amp; W Capital'!$D$15))*$C$152*H$124</f>
        <v>0</v>
      </c>
      <c r="I157" s="64">
        <f>((H89*(1-'5.Closing Stock &amp; W Capital'!$D$15))+(G89*'5.Closing Stock &amp; W Capital'!$D$15))*$C$152*I$124</f>
        <v>0</v>
      </c>
      <c r="J157" s="64">
        <f>((I89*(1-'5.Closing Stock &amp; W Capital'!$D$15))+(H89*'5.Closing Stock &amp; W Capital'!$D$15))*$C$152*J$124</f>
        <v>0</v>
      </c>
      <c r="K157" s="62"/>
      <c r="U157" s="62"/>
      <c r="V157" s="62"/>
      <c r="W157" s="62"/>
    </row>
    <row r="158" spans="1:23">
      <c r="A158" s="63" t="e">
        <f t="shared" si="52"/>
        <v>#REF!</v>
      </c>
      <c r="B158" s="63"/>
      <c r="C158" s="187"/>
      <c r="D158" s="64" t="e">
        <f>(C90*(1-'5.Closing Stock &amp; W Capital'!$D$15))*$C158*D$124</f>
        <v>#REF!</v>
      </c>
      <c r="E158" s="64" t="e">
        <f>((D90*(1-'5.Closing Stock &amp; W Capital'!$D$15))+(C90*'5.Closing Stock &amp; W Capital'!$D$15))*$C158*E$124</f>
        <v>#REF!</v>
      </c>
      <c r="F158" s="64" t="e">
        <f>((E90*(1-'5.Closing Stock &amp; W Capital'!$D$15))+(D90*'5.Closing Stock &amp; W Capital'!$D$15))*$C$152*F$124</f>
        <v>#REF!</v>
      </c>
      <c r="G158" s="64" t="e">
        <f>((F90*(1-'5.Closing Stock &amp; W Capital'!$D$15))+(E90*'5.Closing Stock &amp; W Capital'!$D$15))*$C$152*G$124</f>
        <v>#REF!</v>
      </c>
      <c r="H158" s="64" t="e">
        <f>((G90*(1-'5.Closing Stock &amp; W Capital'!$D$15))+(F90*'5.Closing Stock &amp; W Capital'!$D$15))*$C$152*H$124</f>
        <v>#REF!</v>
      </c>
      <c r="I158" s="64" t="e">
        <f>((H90*(1-'5.Closing Stock &amp; W Capital'!$D$15))+(G90*'5.Closing Stock &amp; W Capital'!$D$15))*$C$152*I$124</f>
        <v>#REF!</v>
      </c>
      <c r="J158" s="64" t="e">
        <f>((I90*(1-'5.Closing Stock &amp; W Capital'!$D$15))+(H90*'5.Closing Stock &amp; W Capital'!$D$15))*$C$152*J$124</f>
        <v>#REF!</v>
      </c>
      <c r="K158" s="62"/>
      <c r="U158" s="62"/>
      <c r="V158" s="62"/>
      <c r="W158" s="62"/>
    </row>
    <row r="159" spans="1:23">
      <c r="A159" s="63" t="e">
        <f t="shared" si="52"/>
        <v>#REF!</v>
      </c>
      <c r="B159" s="63"/>
      <c r="C159" s="187"/>
      <c r="D159" s="64" t="e">
        <f>(C91*(1-'5.Closing Stock &amp; W Capital'!$D$15))*$C159*D$124</f>
        <v>#REF!</v>
      </c>
      <c r="E159" s="64" t="e">
        <f>((D91*(1-'5.Closing Stock &amp; W Capital'!$D$15))+(C91*'5.Closing Stock &amp; W Capital'!$D$15))*$C159*E$124</f>
        <v>#REF!</v>
      </c>
      <c r="F159" s="64" t="e">
        <f>((E91*(1-'5.Closing Stock &amp; W Capital'!$D$15))+(D91*'5.Closing Stock &amp; W Capital'!$D$15))*$C$152*F$124</f>
        <v>#REF!</v>
      </c>
      <c r="G159" s="64" t="e">
        <f>((F91*(1-'5.Closing Stock &amp; W Capital'!$D$15))+(E91*'5.Closing Stock &amp; W Capital'!$D$15))*$C$152*G$124</f>
        <v>#REF!</v>
      </c>
      <c r="H159" s="64" t="e">
        <f>((G91*(1-'5.Closing Stock &amp; W Capital'!$D$15))+(F91*'5.Closing Stock &amp; W Capital'!$D$15))*$C$152*H$124</f>
        <v>#REF!</v>
      </c>
      <c r="I159" s="64" t="e">
        <f>((H91*(1-'5.Closing Stock &amp; W Capital'!$D$15))+(G91*'5.Closing Stock &amp; W Capital'!$D$15))*$C$152*I$124</f>
        <v>#REF!</v>
      </c>
      <c r="J159" s="64" t="e">
        <f>((I91*(1-'5.Closing Stock &amp; W Capital'!$D$15))+(H91*'5.Closing Stock &amp; W Capital'!$D$15))*$C$152*J$124</f>
        <v>#REF!</v>
      </c>
      <c r="K159" s="62"/>
      <c r="U159" s="62"/>
      <c r="V159" s="62"/>
      <c r="W159" s="62"/>
    </row>
    <row r="160" spans="1:23">
      <c r="A160" s="63" t="e">
        <f t="shared" si="52"/>
        <v>#REF!</v>
      </c>
      <c r="B160" s="63"/>
      <c r="C160" s="187"/>
      <c r="D160" s="64" t="e">
        <f>(C92*(1-'5.Closing Stock &amp; W Capital'!$D$15))*$C160*D$124</f>
        <v>#REF!</v>
      </c>
      <c r="E160" s="64" t="e">
        <f>((D92*(1-'5.Closing Stock &amp; W Capital'!$D$15))+(C92*'5.Closing Stock &amp; W Capital'!$D$15))*$C160*E$124</f>
        <v>#REF!</v>
      </c>
      <c r="F160" s="64" t="e">
        <f>((E92*(1-'5.Closing Stock &amp; W Capital'!$D$15))+(D92*'5.Closing Stock &amp; W Capital'!$D$15))*$C$152*F$124</f>
        <v>#REF!</v>
      </c>
      <c r="G160" s="64" t="e">
        <f>((F92*(1-'5.Closing Stock &amp; W Capital'!$D$15))+(E92*'5.Closing Stock &amp; W Capital'!$D$15))*$C$152*G$124</f>
        <v>#REF!</v>
      </c>
      <c r="H160" s="64" t="e">
        <f>((G92*(1-'5.Closing Stock &amp; W Capital'!$D$15))+(F92*'5.Closing Stock &amp; W Capital'!$D$15))*$C$152*H$124</f>
        <v>#REF!</v>
      </c>
      <c r="I160" s="64" t="e">
        <f>((H92*(1-'5.Closing Stock &amp; W Capital'!$D$15))+(G92*'5.Closing Stock &amp; W Capital'!$D$15))*$C$152*I$124</f>
        <v>#REF!</v>
      </c>
      <c r="J160" s="64" t="e">
        <f>((I92*(1-'5.Closing Stock &amp; W Capital'!$D$15))+(H92*'5.Closing Stock &amp; W Capital'!$D$15))*$C$152*J$124</f>
        <v>#REF!</v>
      </c>
      <c r="K160" s="62"/>
      <c r="U160" s="62"/>
      <c r="V160" s="62"/>
      <c r="W160" s="62"/>
    </row>
    <row r="161" spans="1:23">
      <c r="A161" s="63" t="e">
        <f t="shared" ref="A161:A179" si="53">A40</f>
        <v>#REF!</v>
      </c>
      <c r="B161" s="63"/>
      <c r="C161" s="187"/>
      <c r="D161" s="64" t="e">
        <f>(C93*(1-'5.Closing Stock &amp; W Capital'!$D$15))*$C161*D$124</f>
        <v>#REF!</v>
      </c>
      <c r="E161" s="64" t="e">
        <f>((D93*(1-'5.Closing Stock &amp; W Capital'!$D$15))+(C93*'5.Closing Stock &amp; W Capital'!$D$15))*$C161*E$124</f>
        <v>#REF!</v>
      </c>
      <c r="F161" s="64" t="e">
        <f>((E93*(1-'5.Closing Stock &amp; W Capital'!$D$15))+(D93*'5.Closing Stock &amp; W Capital'!$D$15))*$C$152*F$124</f>
        <v>#REF!</v>
      </c>
      <c r="G161" s="64" t="e">
        <f>((F93*(1-'5.Closing Stock &amp; W Capital'!$D$15))+(E93*'5.Closing Stock &amp; W Capital'!$D$15))*$C$152*G$124</f>
        <v>#REF!</v>
      </c>
      <c r="H161" s="64" t="e">
        <f>((G93*(1-'5.Closing Stock &amp; W Capital'!$D$15))+(F93*'5.Closing Stock &amp; W Capital'!$D$15))*$C$152*H$124</f>
        <v>#REF!</v>
      </c>
      <c r="I161" s="64" t="e">
        <f>((H93*(1-'5.Closing Stock &amp; W Capital'!$D$15))+(G93*'5.Closing Stock &amp; W Capital'!$D$15))*$C$152*I$124</f>
        <v>#REF!</v>
      </c>
      <c r="J161" s="64" t="e">
        <f>((I93*(1-'5.Closing Stock &amp; W Capital'!$D$15))+(H93*'5.Closing Stock &amp; W Capital'!$D$15))*$C$152*J$124</f>
        <v>#REF!</v>
      </c>
      <c r="K161" s="62"/>
      <c r="U161" s="62"/>
      <c r="V161" s="62"/>
      <c r="W161" s="62"/>
    </row>
    <row r="162" spans="1:23">
      <c r="A162" s="63" t="e">
        <f t="shared" si="53"/>
        <v>#REF!</v>
      </c>
      <c r="B162" s="63"/>
      <c r="C162" s="187"/>
      <c r="D162" s="64" t="e">
        <f>(C94*(1-'5.Closing Stock &amp; W Capital'!$D$15))*$C162*D$124</f>
        <v>#REF!</v>
      </c>
      <c r="E162" s="64" t="e">
        <f>((D94*(1-'5.Closing Stock &amp; W Capital'!$D$15))+(C94*'5.Closing Stock &amp; W Capital'!$D$15))*$C162*E$124</f>
        <v>#REF!</v>
      </c>
      <c r="F162" s="64" t="e">
        <f>((E94*(1-'5.Closing Stock &amp; W Capital'!$D$15))+(D94*'5.Closing Stock &amp; W Capital'!$D$15))*$C$152*F$124</f>
        <v>#REF!</v>
      </c>
      <c r="G162" s="64" t="e">
        <f>((F94*(1-'5.Closing Stock &amp; W Capital'!$D$15))+(E94*'5.Closing Stock &amp; W Capital'!$D$15))*$C$152*G$124</f>
        <v>#REF!</v>
      </c>
      <c r="H162" s="64" t="e">
        <f>((G94*(1-'5.Closing Stock &amp; W Capital'!$D$15))+(F94*'5.Closing Stock &amp; W Capital'!$D$15))*$C$152*H$124</f>
        <v>#REF!</v>
      </c>
      <c r="I162" s="64" t="e">
        <f>((H94*(1-'5.Closing Stock &amp; W Capital'!$D$15))+(G94*'5.Closing Stock &amp; W Capital'!$D$15))*$C$152*I$124</f>
        <v>#REF!</v>
      </c>
      <c r="J162" s="64" t="e">
        <f>((I94*(1-'5.Closing Stock &amp; W Capital'!$D$15))+(H94*'5.Closing Stock &amp; W Capital'!$D$15))*$C$152*J$124</f>
        <v>#REF!</v>
      </c>
      <c r="K162" s="62"/>
      <c r="U162" s="62"/>
      <c r="V162" s="62"/>
      <c r="W162" s="62"/>
    </row>
    <row r="163" spans="1:23">
      <c r="A163" s="63" t="e">
        <f t="shared" si="53"/>
        <v>#REF!</v>
      </c>
      <c r="B163" s="63"/>
      <c r="C163" s="187"/>
      <c r="D163" s="64" t="e">
        <f>(C95*(1-'5.Closing Stock &amp; W Capital'!$D$15))*$C163*D$124</f>
        <v>#REF!</v>
      </c>
      <c r="E163" s="64" t="e">
        <f>((D95*(1-'5.Closing Stock &amp; W Capital'!$D$15))+(C95*'5.Closing Stock &amp; W Capital'!$D$15))*$C163*E$124</f>
        <v>#REF!</v>
      </c>
      <c r="F163" s="64" t="e">
        <f>((E95*(1-'5.Closing Stock &amp; W Capital'!$D$15))+(D95*'5.Closing Stock &amp; W Capital'!$D$15))*$C$152*F$124</f>
        <v>#REF!</v>
      </c>
      <c r="G163" s="64" t="e">
        <f>((F95*(1-'5.Closing Stock &amp; W Capital'!$D$15))+(E95*'5.Closing Stock &amp; W Capital'!$D$15))*$C$152*G$124</f>
        <v>#REF!</v>
      </c>
      <c r="H163" s="64" t="e">
        <f>((G95*(1-'5.Closing Stock &amp; W Capital'!$D$15))+(F95*'5.Closing Stock &amp; W Capital'!$D$15))*$C$152*H$124</f>
        <v>#REF!</v>
      </c>
      <c r="I163" s="64" t="e">
        <f>((H95*(1-'5.Closing Stock &amp; W Capital'!$D$15))+(G95*'5.Closing Stock &amp; W Capital'!$D$15))*$C$152*I$124</f>
        <v>#REF!</v>
      </c>
      <c r="J163" s="64" t="e">
        <f>((I95*(1-'5.Closing Stock &amp; W Capital'!$D$15))+(H95*'5.Closing Stock &amp; W Capital'!$D$15))*$C$152*J$124</f>
        <v>#REF!</v>
      </c>
      <c r="K163" s="62"/>
      <c r="U163" s="62"/>
      <c r="V163" s="62"/>
      <c r="W163" s="62"/>
    </row>
    <row r="164" spans="1:23">
      <c r="A164" s="63" t="e">
        <f t="shared" si="53"/>
        <v>#REF!</v>
      </c>
      <c r="B164" s="63"/>
      <c r="C164" s="187"/>
      <c r="D164" s="64" t="e">
        <f>(C96*(1-'5.Closing Stock &amp; W Capital'!$D$15))*$C164*D$124</f>
        <v>#REF!</v>
      </c>
      <c r="E164" s="64" t="e">
        <f>((D96*(1-'5.Closing Stock &amp; W Capital'!$D$15))+(C96*'5.Closing Stock &amp; W Capital'!$D$15))*$C164*E$124</f>
        <v>#REF!</v>
      </c>
      <c r="F164" s="64" t="e">
        <f>((E96*(1-'5.Closing Stock &amp; W Capital'!$D$15))+(D96*'5.Closing Stock &amp; W Capital'!$D$15))*$C$152*F$124</f>
        <v>#REF!</v>
      </c>
      <c r="G164" s="64" t="e">
        <f>((F96*(1-'5.Closing Stock &amp; W Capital'!$D$15))+(E96*'5.Closing Stock &amp; W Capital'!$D$15))*$C$152*G$124</f>
        <v>#REF!</v>
      </c>
      <c r="H164" s="64" t="e">
        <f>((G96*(1-'5.Closing Stock &amp; W Capital'!$D$15))+(F96*'5.Closing Stock &amp; W Capital'!$D$15))*$C$152*H$124</f>
        <v>#REF!</v>
      </c>
      <c r="I164" s="64" t="e">
        <f>((H96*(1-'5.Closing Stock &amp; W Capital'!$D$15))+(G96*'5.Closing Stock &amp; W Capital'!$D$15))*$C$152*I$124</f>
        <v>#REF!</v>
      </c>
      <c r="J164" s="64" t="e">
        <f>((I96*(1-'5.Closing Stock &amp; W Capital'!$D$15))+(H96*'5.Closing Stock &amp; W Capital'!$D$15))*$C$152*J$124</f>
        <v>#REF!</v>
      </c>
      <c r="K164" s="62"/>
      <c r="U164" s="62"/>
      <c r="V164" s="62"/>
      <c r="W164" s="62"/>
    </row>
    <row r="165" spans="1:23">
      <c r="A165" s="63" t="e">
        <f t="shared" si="53"/>
        <v>#REF!</v>
      </c>
      <c r="B165" s="63"/>
      <c r="C165" s="187"/>
      <c r="D165" s="64" t="e">
        <f>(C97*(1-'5.Closing Stock &amp; W Capital'!$D$15))*$C165*D$124</f>
        <v>#REF!</v>
      </c>
      <c r="E165" s="64" t="e">
        <f>((D97*(1-'5.Closing Stock &amp; W Capital'!$D$15))+(C97*'5.Closing Stock &amp; W Capital'!$D$15))*$C165*E$124</f>
        <v>#REF!</v>
      </c>
      <c r="F165" s="64" t="e">
        <f>((E97*(1-'5.Closing Stock &amp; W Capital'!$D$15))+(D97*'5.Closing Stock &amp; W Capital'!$D$15))*$C$152*F$124</f>
        <v>#REF!</v>
      </c>
      <c r="G165" s="64" t="e">
        <f>((F97*(1-'5.Closing Stock &amp; W Capital'!$D$15))+(E97*'5.Closing Stock &amp; W Capital'!$D$15))*$C$152*G$124</f>
        <v>#REF!</v>
      </c>
      <c r="H165" s="64" t="e">
        <f>((G97*(1-'5.Closing Stock &amp; W Capital'!$D$15))+(F97*'5.Closing Stock &amp; W Capital'!$D$15))*$C$152*H$124</f>
        <v>#REF!</v>
      </c>
      <c r="I165" s="64" t="e">
        <f>((H97*(1-'5.Closing Stock &amp; W Capital'!$D$15))+(G97*'5.Closing Stock &amp; W Capital'!$D$15))*$C$152*I$124</f>
        <v>#REF!</v>
      </c>
      <c r="J165" s="64" t="e">
        <f>((I97*(1-'5.Closing Stock &amp; W Capital'!$D$15))+(H97*'5.Closing Stock &amp; W Capital'!$D$15))*$C$152*J$124</f>
        <v>#REF!</v>
      </c>
      <c r="K165" s="62"/>
      <c r="U165" s="62"/>
      <c r="V165" s="62"/>
      <c r="W165" s="62"/>
    </row>
    <row r="166" spans="1:23">
      <c r="A166" s="63" t="e">
        <f t="shared" si="53"/>
        <v>#REF!</v>
      </c>
      <c r="B166" s="63"/>
      <c r="C166" s="187"/>
      <c r="D166" s="64" t="e">
        <f>(C98*(1-'5.Closing Stock &amp; W Capital'!$D$15))*$C166*D$124</f>
        <v>#REF!</v>
      </c>
      <c r="E166" s="64" t="e">
        <f>((D98*(1-'5.Closing Stock &amp; W Capital'!$D$15))+(C98*'5.Closing Stock &amp; W Capital'!$D$15))*$C166*E$124</f>
        <v>#REF!</v>
      </c>
      <c r="F166" s="64" t="e">
        <f>((E98*(1-'5.Closing Stock &amp; W Capital'!$D$15))+(D98*'5.Closing Stock &amp; W Capital'!$D$15))*$C$152*F$124</f>
        <v>#REF!</v>
      </c>
      <c r="G166" s="64" t="e">
        <f>((F98*(1-'5.Closing Stock &amp; W Capital'!$D$15))+(E98*'5.Closing Stock &amp; W Capital'!$D$15))*$C$152*G$124</f>
        <v>#REF!</v>
      </c>
      <c r="H166" s="64" t="e">
        <f>((G98*(1-'5.Closing Stock &amp; W Capital'!$D$15))+(F98*'5.Closing Stock &amp; W Capital'!$D$15))*$C$152*H$124</f>
        <v>#REF!</v>
      </c>
      <c r="I166" s="64" t="e">
        <f>((H98*(1-'5.Closing Stock &amp; W Capital'!$D$15))+(G98*'5.Closing Stock &amp; W Capital'!$D$15))*$C$152*I$124</f>
        <v>#REF!</v>
      </c>
      <c r="J166" s="64" t="e">
        <f>((I98*(1-'5.Closing Stock &amp; W Capital'!$D$15))+(H98*'5.Closing Stock &amp; W Capital'!$D$15))*$C$152*J$124</f>
        <v>#REF!</v>
      </c>
      <c r="K166" s="62"/>
      <c r="U166" s="62"/>
      <c r="V166" s="62"/>
      <c r="W166" s="62"/>
    </row>
    <row r="167" spans="1:23">
      <c r="A167" s="63" t="e">
        <f t="shared" si="53"/>
        <v>#REF!</v>
      </c>
      <c r="B167" s="63"/>
      <c r="C167" s="187"/>
      <c r="D167" s="64" t="e">
        <f>(C99*(1-'5.Closing Stock &amp; W Capital'!$D$15))*$C167*D$124</f>
        <v>#REF!</v>
      </c>
      <c r="E167" s="64" t="e">
        <f>((D99*(1-'5.Closing Stock &amp; W Capital'!$D$15))+(C99*'5.Closing Stock &amp; W Capital'!$D$15))*$C167*E$124</f>
        <v>#REF!</v>
      </c>
      <c r="F167" s="64" t="e">
        <f>((E99*(1-'5.Closing Stock &amp; W Capital'!$D$15))+(D99*'5.Closing Stock &amp; W Capital'!$D$15))*$C$152*F$124</f>
        <v>#REF!</v>
      </c>
      <c r="G167" s="64" t="e">
        <f>((F99*(1-'5.Closing Stock &amp; W Capital'!$D$15))+(E99*'5.Closing Stock &amp; W Capital'!$D$15))*$C$152*G$124</f>
        <v>#REF!</v>
      </c>
      <c r="H167" s="64" t="e">
        <f>((G99*(1-'5.Closing Stock &amp; W Capital'!$D$15))+(F99*'5.Closing Stock &amp; W Capital'!$D$15))*$C$152*H$124</f>
        <v>#REF!</v>
      </c>
      <c r="I167" s="64" t="e">
        <f>((H99*(1-'5.Closing Stock &amp; W Capital'!$D$15))+(G99*'5.Closing Stock &amp; W Capital'!$D$15))*$C$152*I$124</f>
        <v>#REF!</v>
      </c>
      <c r="J167" s="64" t="e">
        <f>((I99*(1-'5.Closing Stock &amp; W Capital'!$D$15))+(H99*'5.Closing Stock &amp; W Capital'!$D$15))*$C$152*J$124</f>
        <v>#REF!</v>
      </c>
      <c r="K167" s="62"/>
      <c r="U167" s="62"/>
      <c r="V167" s="62"/>
      <c r="W167" s="62"/>
    </row>
    <row r="168" spans="1:23">
      <c r="A168" s="63" t="e">
        <f t="shared" si="53"/>
        <v>#REF!</v>
      </c>
      <c r="B168" s="63"/>
      <c r="C168" s="187"/>
      <c r="D168" s="64" t="e">
        <f>(C100*(1-'5.Closing Stock &amp; W Capital'!$D$15))*$C168*D$124</f>
        <v>#REF!</v>
      </c>
      <c r="E168" s="64" t="e">
        <f>((D100*(1-'5.Closing Stock &amp; W Capital'!$D$15))+(C100*'5.Closing Stock &amp; W Capital'!$D$15))*$C168*E$124</f>
        <v>#REF!</v>
      </c>
      <c r="F168" s="64" t="e">
        <f>((E100*(1-'5.Closing Stock &amp; W Capital'!$D$15))+(D100*'5.Closing Stock &amp; W Capital'!$D$15))*$C$152*F$124</f>
        <v>#REF!</v>
      </c>
      <c r="G168" s="64" t="e">
        <f>((F100*(1-'5.Closing Stock &amp; W Capital'!$D$15))+(E100*'5.Closing Stock &amp; W Capital'!$D$15))*$C$152*G$124</f>
        <v>#REF!</v>
      </c>
      <c r="H168" s="64" t="e">
        <f>((G100*(1-'5.Closing Stock &amp; W Capital'!$D$15))+(F100*'5.Closing Stock &amp; W Capital'!$D$15))*$C$152*H$124</f>
        <v>#REF!</v>
      </c>
      <c r="I168" s="64" t="e">
        <f>((H100*(1-'5.Closing Stock &amp; W Capital'!$D$15))+(G100*'5.Closing Stock &amp; W Capital'!$D$15))*$C$152*I$124</f>
        <v>#REF!</v>
      </c>
      <c r="J168" s="64" t="e">
        <f>((I100*(1-'5.Closing Stock &amp; W Capital'!$D$15))+(H100*'5.Closing Stock &amp; W Capital'!$D$15))*$C$152*J$124</f>
        <v>#REF!</v>
      </c>
      <c r="K168" s="62"/>
      <c r="U168" s="62"/>
      <c r="V168" s="62"/>
      <c r="W168" s="62"/>
    </row>
    <row r="169" spans="1:23">
      <c r="A169" s="63" t="e">
        <f t="shared" si="53"/>
        <v>#REF!</v>
      </c>
      <c r="B169" s="63"/>
      <c r="C169" s="187"/>
      <c r="D169" s="64" t="e">
        <f>(C101*(1-'5.Closing Stock &amp; W Capital'!$D$15))*$C169*D$124</f>
        <v>#REF!</v>
      </c>
      <c r="E169" s="64" t="e">
        <f>((D101*(1-'5.Closing Stock &amp; W Capital'!$D$15))+(C101*'5.Closing Stock &amp; W Capital'!$D$15))*$C169*E$124</f>
        <v>#REF!</v>
      </c>
      <c r="F169" s="64" t="e">
        <f>((E101*(1-'5.Closing Stock &amp; W Capital'!$D$15))+(D101*'5.Closing Stock &amp; W Capital'!$D$15))*$C$152*F$124</f>
        <v>#REF!</v>
      </c>
      <c r="G169" s="64" t="e">
        <f>((F101*(1-'5.Closing Stock &amp; W Capital'!$D$15))+(E101*'5.Closing Stock &amp; W Capital'!$D$15))*$C$152*G$124</f>
        <v>#REF!</v>
      </c>
      <c r="H169" s="64" t="e">
        <f>((G101*(1-'5.Closing Stock &amp; W Capital'!$D$15))+(F101*'5.Closing Stock &amp; W Capital'!$D$15))*$C$152*H$124</f>
        <v>#REF!</v>
      </c>
      <c r="I169" s="64" t="e">
        <f>((H101*(1-'5.Closing Stock &amp; W Capital'!$D$15))+(G101*'5.Closing Stock &amp; W Capital'!$D$15))*$C$152*I$124</f>
        <v>#REF!</v>
      </c>
      <c r="J169" s="64" t="e">
        <f>((I101*(1-'5.Closing Stock &amp; W Capital'!$D$15))+(H101*'5.Closing Stock &amp; W Capital'!$D$15))*$C$152*J$124</f>
        <v>#REF!</v>
      </c>
      <c r="K169" s="62"/>
      <c r="U169" s="62"/>
      <c r="V169" s="62"/>
      <c r="W169" s="62"/>
    </row>
    <row r="170" spans="1:23">
      <c r="A170" s="63" t="e">
        <f t="shared" si="53"/>
        <v>#REF!</v>
      </c>
      <c r="B170" s="63"/>
      <c r="C170" s="187"/>
      <c r="D170" s="64" t="e">
        <f>(C102*(1-'5.Closing Stock &amp; W Capital'!$D$15))*$C170*D$124</f>
        <v>#REF!</v>
      </c>
      <c r="E170" s="64" t="e">
        <f>((D102*(1-'5.Closing Stock &amp; W Capital'!$D$15))+(C102*'5.Closing Stock &amp; W Capital'!$D$15))*$C170*E$124</f>
        <v>#REF!</v>
      </c>
      <c r="F170" s="64" t="e">
        <f>((E102*(1-'5.Closing Stock &amp; W Capital'!$D$15))+(D102*'5.Closing Stock &amp; W Capital'!$D$15))*$C$152*F$124</f>
        <v>#REF!</v>
      </c>
      <c r="G170" s="64" t="e">
        <f>((F102*(1-'5.Closing Stock &amp; W Capital'!$D$15))+(E102*'5.Closing Stock &amp; W Capital'!$D$15))*$C$152*G$124</f>
        <v>#REF!</v>
      </c>
      <c r="H170" s="64" t="e">
        <f>((G102*(1-'5.Closing Stock &amp; W Capital'!$D$15))+(F102*'5.Closing Stock &amp; W Capital'!$D$15))*$C$152*H$124</f>
        <v>#REF!</v>
      </c>
      <c r="I170" s="64" t="e">
        <f>((H102*(1-'5.Closing Stock &amp; W Capital'!$D$15))+(G102*'5.Closing Stock &amp; W Capital'!$D$15))*$C$152*I$124</f>
        <v>#REF!</v>
      </c>
      <c r="J170" s="64" t="e">
        <f>((I102*(1-'5.Closing Stock &amp; W Capital'!$D$15))+(H102*'5.Closing Stock &amp; W Capital'!$D$15))*$C$152*J$124</f>
        <v>#REF!</v>
      </c>
      <c r="K170" s="62"/>
      <c r="U170" s="62"/>
      <c r="V170" s="62"/>
      <c r="W170" s="62"/>
    </row>
    <row r="171" spans="1:23">
      <c r="A171" s="63" t="e">
        <f t="shared" si="53"/>
        <v>#REF!</v>
      </c>
      <c r="B171" s="63"/>
      <c r="C171" s="187"/>
      <c r="D171" s="64" t="e">
        <f>(C103*(1-'5.Closing Stock &amp; W Capital'!$D$15))*$C171*D$124</f>
        <v>#REF!</v>
      </c>
      <c r="E171" s="64" t="e">
        <f>((D103*(1-'5.Closing Stock &amp; W Capital'!$D$15))+(C103*'5.Closing Stock &amp; W Capital'!$D$15))*$C171*E$124</f>
        <v>#REF!</v>
      </c>
      <c r="F171" s="64" t="e">
        <f>((E103*(1-'5.Closing Stock &amp; W Capital'!$D$15))+(D103*'5.Closing Stock &amp; W Capital'!$D$15))*$C$152*F$124</f>
        <v>#REF!</v>
      </c>
      <c r="G171" s="64" t="e">
        <f>((F103*(1-'5.Closing Stock &amp; W Capital'!$D$15))+(E103*'5.Closing Stock &amp; W Capital'!$D$15))*$C$152*G$124</f>
        <v>#REF!</v>
      </c>
      <c r="H171" s="64" t="e">
        <f>((G103*(1-'5.Closing Stock &amp; W Capital'!$D$15))+(F103*'5.Closing Stock &amp; W Capital'!$D$15))*$C$152*H$124</f>
        <v>#REF!</v>
      </c>
      <c r="I171" s="64" t="e">
        <f>((H103*(1-'5.Closing Stock &amp; W Capital'!$D$15))+(G103*'5.Closing Stock &amp; W Capital'!$D$15))*$C$152*I$124</f>
        <v>#REF!</v>
      </c>
      <c r="J171" s="64" t="e">
        <f>((I103*(1-'5.Closing Stock &amp; W Capital'!$D$15))+(H103*'5.Closing Stock &amp; W Capital'!$D$15))*$C$152*J$124</f>
        <v>#REF!</v>
      </c>
      <c r="K171" s="62"/>
      <c r="U171" s="62"/>
      <c r="V171" s="62"/>
      <c r="W171" s="62"/>
    </row>
    <row r="172" spans="1:23">
      <c r="A172" s="63" t="e">
        <f t="shared" si="53"/>
        <v>#REF!</v>
      </c>
      <c r="B172" s="63"/>
      <c r="C172" s="187"/>
      <c r="D172" s="64" t="e">
        <f>(C104*(1-'5.Closing Stock &amp; W Capital'!$D$15))*$C172*D$124</f>
        <v>#REF!</v>
      </c>
      <c r="E172" s="64" t="e">
        <f>((D104*(1-'5.Closing Stock &amp; W Capital'!$D$15))+(C104*'5.Closing Stock &amp; W Capital'!$D$15))*$C172*E$124</f>
        <v>#REF!</v>
      </c>
      <c r="F172" s="64" t="e">
        <f>((E104*(1-'5.Closing Stock &amp; W Capital'!$D$15))+(D104*'5.Closing Stock &amp; W Capital'!$D$15))*$C$152*F$124</f>
        <v>#REF!</v>
      </c>
      <c r="G172" s="64" t="e">
        <f>((F104*(1-'5.Closing Stock &amp; W Capital'!$D$15))+(E104*'5.Closing Stock &amp; W Capital'!$D$15))*$C$152*G$124</f>
        <v>#REF!</v>
      </c>
      <c r="H172" s="64" t="e">
        <f>((G104*(1-'5.Closing Stock &amp; W Capital'!$D$15))+(F104*'5.Closing Stock &amp; W Capital'!$D$15))*$C$152*H$124</f>
        <v>#REF!</v>
      </c>
      <c r="I172" s="64" t="e">
        <f>((H104*(1-'5.Closing Stock &amp; W Capital'!$D$15))+(G104*'5.Closing Stock &amp; W Capital'!$D$15))*$C$152*I$124</f>
        <v>#REF!</v>
      </c>
      <c r="J172" s="64" t="e">
        <f>((I104*(1-'5.Closing Stock &amp; W Capital'!$D$15))+(H104*'5.Closing Stock &amp; W Capital'!$D$15))*$C$152*J$124</f>
        <v>#REF!</v>
      </c>
      <c r="K172" s="62"/>
      <c r="U172" s="62"/>
      <c r="V172" s="62"/>
      <c r="W172" s="62"/>
    </row>
    <row r="173" spans="1:23">
      <c r="A173" s="63" t="e">
        <f t="shared" si="53"/>
        <v>#REF!</v>
      </c>
      <c r="B173" s="63"/>
      <c r="C173" s="187"/>
      <c r="D173" s="64" t="e">
        <f>(C105*(1-'5.Closing Stock &amp; W Capital'!$D$15))*$C173*D$124</f>
        <v>#REF!</v>
      </c>
      <c r="E173" s="64" t="e">
        <f>((D105*(1-'5.Closing Stock &amp; W Capital'!$D$15))+(C105*'5.Closing Stock &amp; W Capital'!$D$15))*$C173*E$124</f>
        <v>#REF!</v>
      </c>
      <c r="F173" s="64" t="e">
        <f>((E105*(1-'5.Closing Stock &amp; W Capital'!$D$15))+(D105*'5.Closing Stock &amp; W Capital'!$D$15))*$C$152*F$124</f>
        <v>#REF!</v>
      </c>
      <c r="G173" s="64" t="e">
        <f>((F105*(1-'5.Closing Stock &amp; W Capital'!$D$15))+(E105*'5.Closing Stock &amp; W Capital'!$D$15))*$C$152*G$124</f>
        <v>#REF!</v>
      </c>
      <c r="H173" s="64" t="e">
        <f>((G105*(1-'5.Closing Stock &amp; W Capital'!$D$15))+(F105*'5.Closing Stock &amp; W Capital'!$D$15))*$C$152*H$124</f>
        <v>#REF!</v>
      </c>
      <c r="I173" s="64" t="e">
        <f>((H105*(1-'5.Closing Stock &amp; W Capital'!$D$15))+(G105*'5.Closing Stock &amp; W Capital'!$D$15))*$C$152*I$124</f>
        <v>#REF!</v>
      </c>
      <c r="J173" s="64" t="e">
        <f>((I105*(1-'5.Closing Stock &amp; W Capital'!$D$15))+(H105*'5.Closing Stock &amp; W Capital'!$D$15))*$C$152*J$124</f>
        <v>#REF!</v>
      </c>
      <c r="K173" s="62"/>
      <c r="U173" s="62"/>
      <c r="V173" s="62"/>
      <c r="W173" s="62"/>
    </row>
    <row r="174" spans="1:23">
      <c r="A174" s="63" t="e">
        <f t="shared" si="53"/>
        <v>#REF!</v>
      </c>
      <c r="B174" s="63"/>
      <c r="C174" s="187"/>
      <c r="D174" s="64" t="e">
        <f>(C106*(1-'5.Closing Stock &amp; W Capital'!$D$15))*$C174*D$124</f>
        <v>#REF!</v>
      </c>
      <c r="E174" s="64" t="e">
        <f>((D106*(1-'5.Closing Stock &amp; W Capital'!$D$15))+(C106*'5.Closing Stock &amp; W Capital'!$D$15))*$C174*E$124</f>
        <v>#REF!</v>
      </c>
      <c r="F174" s="64" t="e">
        <f>((E106*(1-'5.Closing Stock &amp; W Capital'!$D$15))+(D106*'5.Closing Stock &amp; W Capital'!$D$15))*$C$152*F$124</f>
        <v>#REF!</v>
      </c>
      <c r="G174" s="64" t="e">
        <f>((F106*(1-'5.Closing Stock &amp; W Capital'!$D$15))+(E106*'5.Closing Stock &amp; W Capital'!$D$15))*$C$152*G$124</f>
        <v>#REF!</v>
      </c>
      <c r="H174" s="64" t="e">
        <f>((G106*(1-'5.Closing Stock &amp; W Capital'!$D$15))+(F106*'5.Closing Stock &amp; W Capital'!$D$15))*$C$152*H$124</f>
        <v>#REF!</v>
      </c>
      <c r="I174" s="64" t="e">
        <f>((H106*(1-'5.Closing Stock &amp; W Capital'!$D$15))+(G106*'5.Closing Stock &amp; W Capital'!$D$15))*$C$152*I$124</f>
        <v>#REF!</v>
      </c>
      <c r="J174" s="64" t="e">
        <f>((I106*(1-'5.Closing Stock &amp; W Capital'!$D$15))+(H106*'5.Closing Stock &amp; W Capital'!$D$15))*$C$152*J$124</f>
        <v>#REF!</v>
      </c>
      <c r="K174" s="62"/>
      <c r="U174" s="62"/>
      <c r="V174" s="62"/>
      <c r="W174" s="62"/>
    </row>
    <row r="175" spans="1:23">
      <c r="A175" s="63" t="e">
        <f t="shared" si="53"/>
        <v>#REF!</v>
      </c>
      <c r="B175" s="63"/>
      <c r="C175" s="187"/>
      <c r="D175" s="64" t="e">
        <f>(C107*(1-'5.Closing Stock &amp; W Capital'!$D$15))*$C175*D$124</f>
        <v>#REF!</v>
      </c>
      <c r="E175" s="64" t="e">
        <f>((D107*(1-'5.Closing Stock &amp; W Capital'!$D$15))+(C107*'5.Closing Stock &amp; W Capital'!$D$15))*$C175*E$124</f>
        <v>#REF!</v>
      </c>
      <c r="F175" s="64" t="e">
        <f>((E107*(1-'5.Closing Stock &amp; W Capital'!$D$15))+(D107*'5.Closing Stock &amp; W Capital'!$D$15))*$C$152*F$124</f>
        <v>#REF!</v>
      </c>
      <c r="G175" s="64" t="e">
        <f>((F107*(1-'5.Closing Stock &amp; W Capital'!$D$15))+(E107*'5.Closing Stock &amp; W Capital'!$D$15))*$C$152*G$124</f>
        <v>#REF!</v>
      </c>
      <c r="H175" s="64" t="e">
        <f>((G107*(1-'5.Closing Stock &amp; W Capital'!$D$15))+(F107*'5.Closing Stock &amp; W Capital'!$D$15))*$C$152*H$124</f>
        <v>#REF!</v>
      </c>
      <c r="I175" s="64" t="e">
        <f>((H107*(1-'5.Closing Stock &amp; W Capital'!$D$15))+(G107*'5.Closing Stock &amp; W Capital'!$D$15))*$C$152*I$124</f>
        <v>#REF!</v>
      </c>
      <c r="J175" s="64" t="e">
        <f>((I107*(1-'5.Closing Stock &amp; W Capital'!$D$15))+(H107*'5.Closing Stock &amp; W Capital'!$D$15))*$C$152*J$124</f>
        <v>#REF!</v>
      </c>
      <c r="K175" s="62"/>
      <c r="U175" s="62"/>
      <c r="V175" s="62"/>
      <c r="W175" s="62"/>
    </row>
    <row r="176" spans="1:23">
      <c r="A176" s="63" t="e">
        <f t="shared" si="53"/>
        <v>#REF!</v>
      </c>
      <c r="B176" s="63"/>
      <c r="C176" s="187"/>
      <c r="D176" s="64" t="e">
        <f>(C108*(1-'5.Closing Stock &amp; W Capital'!$D$15))*$C176*D$124</f>
        <v>#REF!</v>
      </c>
      <c r="E176" s="64" t="e">
        <f>((D108*(1-'5.Closing Stock &amp; W Capital'!$D$15))+(C108*'5.Closing Stock &amp; W Capital'!$D$15))*$C176*E$124</f>
        <v>#REF!</v>
      </c>
      <c r="F176" s="64" t="e">
        <f>((E108*(1-'5.Closing Stock &amp; W Capital'!$D$15))+(D108*'5.Closing Stock &amp; W Capital'!$D$15))*$C$152*F$124</f>
        <v>#REF!</v>
      </c>
      <c r="G176" s="64" t="e">
        <f>((F108*(1-'5.Closing Stock &amp; W Capital'!$D$15))+(E108*'5.Closing Stock &amp; W Capital'!$D$15))*$C$152*G$124</f>
        <v>#REF!</v>
      </c>
      <c r="H176" s="64" t="e">
        <f>((G108*(1-'5.Closing Stock &amp; W Capital'!$D$15))+(F108*'5.Closing Stock &amp; W Capital'!$D$15))*$C$152*H$124</f>
        <v>#REF!</v>
      </c>
      <c r="I176" s="64" t="e">
        <f>((H108*(1-'5.Closing Stock &amp; W Capital'!$D$15))+(G108*'5.Closing Stock &amp; W Capital'!$D$15))*$C$152*I$124</f>
        <v>#REF!</v>
      </c>
      <c r="J176" s="64" t="e">
        <f>((I108*(1-'5.Closing Stock &amp; W Capital'!$D$15))+(H108*'5.Closing Stock &amp; W Capital'!$D$15))*$C$152*J$124</f>
        <v>#REF!</v>
      </c>
      <c r="K176" s="62"/>
      <c r="U176" s="62"/>
      <c r="V176" s="62"/>
      <c r="W176" s="62"/>
    </row>
    <row r="177" spans="1:23">
      <c r="A177" s="63" t="e">
        <f t="shared" si="53"/>
        <v>#REF!</v>
      </c>
      <c r="B177" s="63"/>
      <c r="C177" s="187"/>
      <c r="D177" s="64" t="e">
        <f>(C109*(1-'5.Closing Stock &amp; W Capital'!$D$15))*$C177*D$124</f>
        <v>#REF!</v>
      </c>
      <c r="E177" s="64" t="e">
        <f>((D109*(1-'5.Closing Stock &amp; W Capital'!$D$15))+(C109*'5.Closing Stock &amp; W Capital'!$D$15))*$C177*E$124</f>
        <v>#REF!</v>
      </c>
      <c r="F177" s="64" t="e">
        <f>((E109*(1-'5.Closing Stock &amp; W Capital'!$D$15))+(D109*'5.Closing Stock &amp; W Capital'!$D$15))*$C$152*F$124</f>
        <v>#REF!</v>
      </c>
      <c r="G177" s="64" t="e">
        <f>((F109*(1-'5.Closing Stock &amp; W Capital'!$D$15))+(E109*'5.Closing Stock &amp; W Capital'!$D$15))*$C$152*G$124</f>
        <v>#REF!</v>
      </c>
      <c r="H177" s="64" t="e">
        <f>((G109*(1-'5.Closing Stock &amp; W Capital'!$D$15))+(F109*'5.Closing Stock &amp; W Capital'!$D$15))*$C$152*H$124</f>
        <v>#REF!</v>
      </c>
      <c r="I177" s="64" t="e">
        <f>((H109*(1-'5.Closing Stock &amp; W Capital'!$D$15))+(G109*'5.Closing Stock &amp; W Capital'!$D$15))*$C$152*I$124</f>
        <v>#REF!</v>
      </c>
      <c r="J177" s="64" t="e">
        <f>((I109*(1-'5.Closing Stock &amp; W Capital'!$D$15))+(H109*'5.Closing Stock &amp; W Capital'!$D$15))*$C$152*J$124</f>
        <v>#REF!</v>
      </c>
      <c r="K177" s="62"/>
      <c r="U177" s="62"/>
      <c r="V177" s="62"/>
      <c r="W177" s="62"/>
    </row>
    <row r="178" spans="1:23">
      <c r="A178" s="63" t="e">
        <f t="shared" si="53"/>
        <v>#REF!</v>
      </c>
      <c r="B178" s="63"/>
      <c r="C178" s="187"/>
      <c r="D178" s="64" t="e">
        <f>(C110*(1-'5.Closing Stock &amp; W Capital'!$D$15))*$C178*D$124</f>
        <v>#REF!</v>
      </c>
      <c r="E178" s="64" t="e">
        <f>((D110*(1-'5.Closing Stock &amp; W Capital'!$D$15))+(C110*'5.Closing Stock &amp; W Capital'!$D$15))*$C178*E$124</f>
        <v>#REF!</v>
      </c>
      <c r="F178" s="64" t="e">
        <f>((E110*(1-'5.Closing Stock &amp; W Capital'!$D$15))+(D110*'5.Closing Stock &amp; W Capital'!$D$15))*$C$152*F$124</f>
        <v>#REF!</v>
      </c>
      <c r="G178" s="64" t="e">
        <f>((F110*(1-'5.Closing Stock &amp; W Capital'!$D$15))+(E110*'5.Closing Stock &amp; W Capital'!$D$15))*$C$152*G$124</f>
        <v>#REF!</v>
      </c>
      <c r="H178" s="64" t="e">
        <f>((G110*(1-'5.Closing Stock &amp; W Capital'!$D$15))+(F110*'5.Closing Stock &amp; W Capital'!$D$15))*$C$152*H$124</f>
        <v>#REF!</v>
      </c>
      <c r="I178" s="64" t="e">
        <f>((H110*(1-'5.Closing Stock &amp; W Capital'!$D$15))+(G110*'5.Closing Stock &amp; W Capital'!$D$15))*$C$152*I$124</f>
        <v>#REF!</v>
      </c>
      <c r="J178" s="64" t="e">
        <f>((I110*(1-'5.Closing Stock &amp; W Capital'!$D$15))+(H110*'5.Closing Stock &amp; W Capital'!$D$15))*$C$152*J$124</f>
        <v>#REF!</v>
      </c>
      <c r="K178" s="62"/>
      <c r="U178" s="62"/>
      <c r="V178" s="62"/>
      <c r="W178" s="62"/>
    </row>
    <row r="179" spans="1:23">
      <c r="A179" s="63">
        <f t="shared" si="53"/>
        <v>0</v>
      </c>
      <c r="B179" s="63"/>
      <c r="C179" s="187"/>
      <c r="D179" s="64"/>
      <c r="E179" s="64"/>
      <c r="F179" s="64"/>
      <c r="G179" s="64"/>
      <c r="H179" s="64"/>
      <c r="I179" s="64"/>
      <c r="J179" s="64"/>
      <c r="K179" s="62"/>
      <c r="U179" s="62"/>
      <c r="V179" s="62"/>
      <c r="W179" s="62"/>
    </row>
    <row r="180" spans="1:23">
      <c r="A180" s="63"/>
      <c r="B180" s="63"/>
      <c r="C180" s="64"/>
      <c r="D180" s="64"/>
      <c r="E180" s="64"/>
      <c r="F180" s="64"/>
      <c r="G180" s="64"/>
      <c r="H180" s="64"/>
      <c r="I180" s="64"/>
      <c r="J180" s="64"/>
      <c r="K180" s="62"/>
      <c r="U180" s="62"/>
      <c r="V180" s="62"/>
      <c r="W180" s="62"/>
    </row>
    <row r="181" spans="1:23">
      <c r="A181" s="63" t="s">
        <v>279</v>
      </c>
      <c r="B181" s="63"/>
      <c r="C181" s="64"/>
      <c r="D181" s="64"/>
      <c r="E181" s="64"/>
      <c r="F181" s="64"/>
      <c r="G181" s="64"/>
      <c r="H181" s="64"/>
      <c r="I181" s="64"/>
      <c r="J181" s="64"/>
      <c r="K181" s="62"/>
      <c r="U181" s="62"/>
      <c r="V181" s="62"/>
      <c r="W181" s="62"/>
    </row>
    <row r="182" spans="1:23">
      <c r="A182" s="63" t="s">
        <v>390</v>
      </c>
      <c r="B182" s="63"/>
      <c r="C182" s="187">
        <f>350/50</f>
        <v>7</v>
      </c>
      <c r="D182" s="64" t="e">
        <f>(C114*(1-'5.Closing Stock &amp; W Capital'!$D$15))*$C$182*D124</f>
        <v>#REF!</v>
      </c>
      <c r="E182" s="64" t="e">
        <f>((D114*(1-'5.Closing Stock &amp; W Capital'!$D$15))+(C114*'5.Closing Stock &amp; W Capital'!$D$15))*$C$182*E124</f>
        <v>#REF!</v>
      </c>
      <c r="F182" s="64" t="e">
        <f>((E114*(1-'5.Closing Stock &amp; W Capital'!$D$15))+(D114*'5.Closing Stock &amp; W Capital'!$D$15))*$C$182*F124</f>
        <v>#REF!</v>
      </c>
      <c r="G182" s="64" t="e">
        <f>((F114*(1-'5.Closing Stock &amp; W Capital'!$D$15))+(E114*'5.Closing Stock &amp; W Capital'!$D$15))*$C$182*G124</f>
        <v>#REF!</v>
      </c>
      <c r="H182" s="64" t="e">
        <f>((G114*(1-'5.Closing Stock &amp; W Capital'!$D$15))+(F114*'5.Closing Stock &amp; W Capital'!$D$15))*$C$182*H124</f>
        <v>#REF!</v>
      </c>
      <c r="I182" s="64" t="e">
        <f>((H114*(1-'5.Closing Stock &amp; W Capital'!$D$15))+(G114*'5.Closing Stock &amp; W Capital'!$D$15))*$C$182*I124</f>
        <v>#REF!</v>
      </c>
      <c r="J182" s="64" t="e">
        <f>((I114*(1-'5.Closing Stock &amp; W Capital'!$D$15))+(H114*'5.Closing Stock &amp; W Capital'!$D$15))*$C$182*J124</f>
        <v>#REF!</v>
      </c>
      <c r="K182" s="62"/>
      <c r="U182" s="62"/>
      <c r="V182" s="62"/>
      <c r="W182" s="62"/>
    </row>
    <row r="183" spans="1:23">
      <c r="A183" s="63" t="s">
        <v>174</v>
      </c>
      <c r="B183" s="63"/>
      <c r="C183" s="187">
        <v>8</v>
      </c>
      <c r="D183" s="64" t="e">
        <f>(C115*(1-'5.Closing Stock &amp; W Capital'!$D$15))*$C$183*D124</f>
        <v>#REF!</v>
      </c>
      <c r="E183" s="64" t="e">
        <f>((D115*(1-'5.Closing Stock &amp; W Capital'!$D$15))+(C115*'5.Closing Stock &amp; W Capital'!$D$15))*$C$183*E124</f>
        <v>#REF!</v>
      </c>
      <c r="F183" s="64" t="e">
        <f>((E115*(1-'5.Closing Stock &amp; W Capital'!$D$15))+(D115*'5.Closing Stock &amp; W Capital'!$D$15))*$C$183*F124</f>
        <v>#REF!</v>
      </c>
      <c r="G183" s="64" t="e">
        <f>((F115*(1-'5.Closing Stock &amp; W Capital'!$D$15))+(E115*'5.Closing Stock &amp; W Capital'!$D$15))*$C$183*G124</f>
        <v>#REF!</v>
      </c>
      <c r="H183" s="64" t="e">
        <f>((G115*(1-'5.Closing Stock &amp; W Capital'!$D$15))+(F115*'5.Closing Stock &amp; W Capital'!$D$15))*$C$183*H124</f>
        <v>#REF!</v>
      </c>
      <c r="I183" s="64" t="e">
        <f>((H115*(1-'5.Closing Stock &amp; W Capital'!$D$15))+(G115*'5.Closing Stock &amp; W Capital'!$D$15))*$C$183*I124</f>
        <v>#REF!</v>
      </c>
      <c r="J183" s="64" t="e">
        <f>((I115*(1-'5.Closing Stock &amp; W Capital'!$D$15))+(H115*'5.Closing Stock &amp; W Capital'!$D$15))*$C$183*J124</f>
        <v>#REF!</v>
      </c>
      <c r="K183" s="62"/>
      <c r="U183" s="62"/>
      <c r="V183" s="62"/>
      <c r="W183" s="62"/>
    </row>
    <row r="184" spans="1:23">
      <c r="A184" s="63" t="s">
        <v>176</v>
      </c>
      <c r="B184" s="63"/>
      <c r="C184" s="187">
        <v>30</v>
      </c>
      <c r="D184" s="64" t="e">
        <f>(C116*(1-'5.Closing Stock &amp; W Capital'!$D$15))*$C$184*D124</f>
        <v>#REF!</v>
      </c>
      <c r="E184" s="64" t="e">
        <f>((D116*(1-'5.Closing Stock &amp; W Capital'!$D$15))+(C116*'5.Closing Stock &amp; W Capital'!$D$15))*$C$184*E124</f>
        <v>#REF!</v>
      </c>
      <c r="F184" s="64" t="e">
        <f>((E116*(1-'5.Closing Stock &amp; W Capital'!$D$15))+(D116*'5.Closing Stock &amp; W Capital'!$D$15))*$C$184*F124</f>
        <v>#REF!</v>
      </c>
      <c r="G184" s="64" t="e">
        <f>((F116*(1-'5.Closing Stock &amp; W Capital'!$D$15))+(E116*'5.Closing Stock &amp; W Capital'!$D$15))*$C$184*G124</f>
        <v>#REF!</v>
      </c>
      <c r="H184" s="64" t="e">
        <f>((G116*(1-'5.Closing Stock &amp; W Capital'!$D$15))+(F116*'5.Closing Stock &amp; W Capital'!$D$15))*$C$184*H124</f>
        <v>#REF!</v>
      </c>
      <c r="I184" s="64" t="e">
        <f>((H116*(1-'5.Closing Stock &amp; W Capital'!$D$15))+(G116*'5.Closing Stock &amp; W Capital'!$D$15))*$C$184*I124</f>
        <v>#REF!</v>
      </c>
      <c r="J184" s="64" t="e">
        <f>((I116*(1-'5.Closing Stock &amp; W Capital'!$D$15))+(H116*'5.Closing Stock &amp; W Capital'!$D$15))*$C$184*J124</f>
        <v>#REF!</v>
      </c>
      <c r="K184" s="62"/>
      <c r="U184" s="62"/>
      <c r="V184" s="62"/>
      <c r="W184" s="62"/>
    </row>
    <row r="185" spans="1:23">
      <c r="A185" s="63"/>
      <c r="B185" s="63"/>
      <c r="C185" s="64"/>
      <c r="D185" s="64"/>
      <c r="E185" s="64"/>
      <c r="F185" s="64"/>
      <c r="G185" s="64"/>
      <c r="H185" s="64"/>
      <c r="I185" s="64"/>
      <c r="J185" s="64"/>
      <c r="K185" s="62"/>
      <c r="U185" s="62"/>
      <c r="V185" s="62"/>
      <c r="W185" s="62"/>
    </row>
    <row r="186" spans="1:23">
      <c r="A186" s="63" t="s">
        <v>175</v>
      </c>
      <c r="B186" s="63"/>
      <c r="C186" s="64"/>
      <c r="D186" s="64"/>
      <c r="E186" s="64"/>
      <c r="F186" s="64"/>
      <c r="G186" s="64"/>
      <c r="H186" s="64"/>
      <c r="I186" s="64"/>
      <c r="J186" s="64"/>
      <c r="K186" s="62"/>
      <c r="U186" s="62"/>
      <c r="V186" s="62"/>
      <c r="W186" s="62"/>
    </row>
    <row r="187" spans="1:23">
      <c r="A187" s="63" t="s">
        <v>181</v>
      </c>
      <c r="B187" s="63"/>
      <c r="C187" s="187">
        <v>3000</v>
      </c>
      <c r="D187" s="64" t="e">
        <f>(C118*(1-'5.Closing Stock &amp; W Capital'!$D$15))*$C$187*D124</f>
        <v>#REF!</v>
      </c>
      <c r="E187" s="64" t="e">
        <f>((D118*(1-'5.Closing Stock &amp; W Capital'!$D$15))+(C118*'5.Closing Stock &amp; W Capital'!$D$15))*$C$187*E124</f>
        <v>#REF!</v>
      </c>
      <c r="F187" s="64" t="e">
        <f>((E118*(1-'5.Closing Stock &amp; W Capital'!$D$15))+(D118*'5.Closing Stock &amp; W Capital'!$D$15))*$C$187*F124</f>
        <v>#REF!</v>
      </c>
      <c r="G187" s="64" t="e">
        <f>((F118*(1-'5.Closing Stock &amp; W Capital'!$D$15))+(E118*'5.Closing Stock &amp; W Capital'!$D$15))*$C$187*G124</f>
        <v>#REF!</v>
      </c>
      <c r="H187" s="64" t="e">
        <f>((G118*(1-'5.Closing Stock &amp; W Capital'!$D$15))+(F118*'5.Closing Stock &amp; W Capital'!$D$15))*$C$187*H124</f>
        <v>#REF!</v>
      </c>
      <c r="I187" s="64" t="e">
        <f>((H118*(1-'5.Closing Stock &amp; W Capital'!$D$15))+(G118*'5.Closing Stock &amp; W Capital'!$D$15))*$C$187*I124</f>
        <v>#REF!</v>
      </c>
      <c r="J187" s="64" t="e">
        <f>((I118*(1-'5.Closing Stock &amp; W Capital'!$D$15))+(H118*'5.Closing Stock &amp; W Capital'!$D$15))*$C$187*J124</f>
        <v>#REF!</v>
      </c>
      <c r="K187" s="62"/>
      <c r="U187" s="141"/>
      <c r="V187" s="141"/>
      <c r="W187" s="141"/>
    </row>
    <row r="188" spans="1:23">
      <c r="A188" s="63" t="s">
        <v>182</v>
      </c>
      <c r="B188" s="63"/>
      <c r="C188" s="187">
        <v>2200</v>
      </c>
      <c r="D188" s="64" t="e">
        <f>(C119*(1-'5.Closing Stock &amp; W Capital'!$D$15))*$C$188*D124</f>
        <v>#REF!</v>
      </c>
      <c r="E188" s="64" t="e">
        <f>((D119*(1-'5.Closing Stock &amp; W Capital'!$D$15))+(C119*'5.Closing Stock &amp; W Capital'!$D$15))*$C$188*E124</f>
        <v>#REF!</v>
      </c>
      <c r="F188" s="64" t="e">
        <f>((E119*(1-'5.Closing Stock &amp; W Capital'!$D$15))+(D119*'5.Closing Stock &amp; W Capital'!$D$15))*$C$188*F124</f>
        <v>#REF!</v>
      </c>
      <c r="G188" s="64" t="e">
        <f>((F119*(1-'5.Closing Stock &amp; W Capital'!$D$15))+(E119*'5.Closing Stock &amp; W Capital'!$D$15))*$C$188*G124</f>
        <v>#REF!</v>
      </c>
      <c r="H188" s="64" t="e">
        <f>((G119*(1-'5.Closing Stock &amp; W Capital'!$D$15))+(F119*'5.Closing Stock &amp; W Capital'!$D$15))*$C$188*H124</f>
        <v>#REF!</v>
      </c>
      <c r="I188" s="64" t="e">
        <f>((H119*(1-'5.Closing Stock &amp; W Capital'!$D$15))+(G119*'5.Closing Stock &amp; W Capital'!$D$15))*$C$188*I124</f>
        <v>#REF!</v>
      </c>
      <c r="J188" s="64" t="e">
        <f>((I119*(1-'5.Closing Stock &amp; W Capital'!$D$15))+(H119*'5.Closing Stock &amp; W Capital'!$D$15))*$C$188*J124</f>
        <v>#REF!</v>
      </c>
      <c r="K188" s="62"/>
      <c r="U188" s="62"/>
      <c r="V188" s="62"/>
      <c r="W188" s="62"/>
    </row>
    <row r="189" spans="1:23">
      <c r="A189" s="63"/>
      <c r="B189" s="63"/>
      <c r="C189" s="64"/>
      <c r="D189" s="64"/>
      <c r="E189" s="64"/>
      <c r="F189" s="64"/>
      <c r="G189" s="64"/>
      <c r="H189" s="64"/>
      <c r="I189" s="64"/>
      <c r="J189" s="64"/>
      <c r="K189" s="62"/>
      <c r="U189" s="62"/>
      <c r="V189" s="62"/>
      <c r="W189" s="62"/>
    </row>
    <row r="190" spans="1:23">
      <c r="A190" s="63"/>
      <c r="B190" s="63"/>
      <c r="C190" s="64"/>
      <c r="D190" s="64"/>
      <c r="E190" s="64"/>
      <c r="F190" s="64"/>
      <c r="G190" s="64"/>
      <c r="H190" s="64"/>
      <c r="I190" s="64"/>
      <c r="J190" s="64"/>
      <c r="K190" s="62"/>
      <c r="U190" s="62"/>
      <c r="V190" s="62"/>
      <c r="W190" s="62"/>
    </row>
    <row r="191" spans="1:23">
      <c r="A191" s="65" t="s">
        <v>138</v>
      </c>
      <c r="B191" s="65"/>
      <c r="C191" s="79"/>
      <c r="D191" s="79" t="e">
        <f t="shared" ref="D191:J191" si="54">SUM(D130:D188)</f>
        <v>#REF!</v>
      </c>
      <c r="E191" s="79" t="e">
        <f t="shared" si="54"/>
        <v>#REF!</v>
      </c>
      <c r="F191" s="79" t="e">
        <f t="shared" si="54"/>
        <v>#REF!</v>
      </c>
      <c r="G191" s="79" t="e">
        <f t="shared" si="54"/>
        <v>#REF!</v>
      </c>
      <c r="H191" s="79" t="e">
        <f t="shared" si="54"/>
        <v>#REF!</v>
      </c>
      <c r="I191" s="79" t="e">
        <f t="shared" si="54"/>
        <v>#REF!</v>
      </c>
      <c r="J191" s="79" t="e">
        <f t="shared" si="54"/>
        <v>#REF!</v>
      </c>
      <c r="K191" s="62"/>
      <c r="U191" s="62"/>
      <c r="V191" s="62"/>
      <c r="W191" s="62"/>
    </row>
    <row r="192" spans="1:23">
      <c r="A192" s="63"/>
      <c r="B192" s="63"/>
      <c r="C192" s="64"/>
      <c r="D192" s="64"/>
      <c r="E192" s="64"/>
      <c r="F192" s="64"/>
      <c r="G192" s="64"/>
      <c r="H192" s="64"/>
      <c r="I192" s="64"/>
      <c r="J192" s="64"/>
      <c r="K192" s="62"/>
      <c r="U192" s="62"/>
      <c r="V192" s="62"/>
      <c r="W192" s="62"/>
    </row>
    <row r="193" spans="1:23">
      <c r="A193" s="63"/>
      <c r="B193" s="63"/>
      <c r="C193" s="64"/>
      <c r="D193" s="64"/>
      <c r="E193" s="64"/>
      <c r="F193" s="64"/>
      <c r="G193" s="64"/>
      <c r="H193" s="64"/>
      <c r="I193" s="64"/>
      <c r="J193" s="64"/>
      <c r="K193" s="62"/>
      <c r="U193" s="62"/>
      <c r="V193" s="62"/>
      <c r="W193" s="62"/>
    </row>
    <row r="194" spans="1:23">
      <c r="A194" s="65" t="s">
        <v>137</v>
      </c>
      <c r="B194" s="65"/>
      <c r="C194" s="64"/>
      <c r="D194" s="64"/>
      <c r="E194" s="64"/>
      <c r="F194" s="64"/>
      <c r="G194" s="64"/>
      <c r="H194" s="64"/>
      <c r="I194" s="64"/>
      <c r="J194" s="64"/>
      <c r="K194" s="62"/>
      <c r="U194" s="62"/>
      <c r="V194" s="62"/>
      <c r="W194" s="62"/>
    </row>
    <row r="195" spans="1:23">
      <c r="A195" s="65" t="str">
        <f>A128</f>
        <v>Seeds (Rate/KG)</v>
      </c>
      <c r="B195" s="65"/>
      <c r="C195" s="64"/>
      <c r="D195" s="64"/>
      <c r="E195" s="64"/>
      <c r="F195" s="64"/>
      <c r="G195" s="64"/>
      <c r="H195" s="64"/>
      <c r="I195" s="64"/>
      <c r="J195" s="64"/>
      <c r="K195" s="62"/>
      <c r="U195" s="62"/>
      <c r="V195" s="62"/>
      <c r="W195" s="62"/>
    </row>
    <row r="196" spans="1:23">
      <c r="A196" s="62" t="s">
        <v>302</v>
      </c>
      <c r="B196" s="62"/>
      <c r="C196" s="62"/>
      <c r="D196" s="62"/>
      <c r="E196" s="62"/>
      <c r="F196" s="62"/>
      <c r="G196" s="62"/>
      <c r="H196" s="62"/>
      <c r="I196" s="62"/>
      <c r="J196" s="62"/>
      <c r="K196" s="62"/>
      <c r="U196" s="62"/>
      <c r="V196" s="62"/>
      <c r="W196" s="62"/>
    </row>
    <row r="197" spans="1:23">
      <c r="A197" s="63" t="str">
        <f t="shared" ref="A197:A238" si="55">A130</f>
        <v>Soybean</v>
      </c>
      <c r="B197" s="62"/>
      <c r="C197" s="187">
        <v>85</v>
      </c>
      <c r="D197" s="64">
        <f t="shared" ref="D197:J206" si="56">C62*$C197*D$124</f>
        <v>0</v>
      </c>
      <c r="E197" s="64">
        <f t="shared" si="56"/>
        <v>0</v>
      </c>
      <c r="F197" s="64">
        <f t="shared" si="56"/>
        <v>0</v>
      </c>
      <c r="G197" s="64">
        <f t="shared" si="56"/>
        <v>0</v>
      </c>
      <c r="H197" s="64">
        <f t="shared" si="56"/>
        <v>0</v>
      </c>
      <c r="I197" s="64">
        <f t="shared" si="56"/>
        <v>0</v>
      </c>
      <c r="J197" s="64">
        <f t="shared" si="56"/>
        <v>0</v>
      </c>
      <c r="K197" s="62"/>
      <c r="U197" s="62"/>
      <c r="V197" s="62"/>
      <c r="W197" s="62"/>
    </row>
    <row r="198" spans="1:23">
      <c r="A198" s="63" t="str">
        <f t="shared" si="55"/>
        <v>Red Gram/Tur</v>
      </c>
      <c r="B198" s="63"/>
      <c r="C198" s="187">
        <v>75</v>
      </c>
      <c r="D198" s="64">
        <f t="shared" si="56"/>
        <v>0</v>
      </c>
      <c r="E198" s="64">
        <f t="shared" si="56"/>
        <v>0</v>
      </c>
      <c r="F198" s="64">
        <f t="shared" si="56"/>
        <v>0</v>
      </c>
      <c r="G198" s="64">
        <f t="shared" si="56"/>
        <v>0</v>
      </c>
      <c r="H198" s="64">
        <f t="shared" si="56"/>
        <v>0</v>
      </c>
      <c r="I198" s="64">
        <f t="shared" si="56"/>
        <v>0</v>
      </c>
      <c r="J198" s="64">
        <f t="shared" si="56"/>
        <v>0</v>
      </c>
      <c r="K198" s="62"/>
      <c r="U198" s="62"/>
      <c r="V198" s="62"/>
      <c r="W198" s="62"/>
    </row>
    <row r="199" spans="1:23">
      <c r="A199" s="63" t="str">
        <f t="shared" si="55"/>
        <v>Paddy/Rice</v>
      </c>
      <c r="B199" s="63"/>
      <c r="C199" s="187">
        <v>57</v>
      </c>
      <c r="D199" s="64">
        <f t="shared" si="56"/>
        <v>0</v>
      </c>
      <c r="E199" s="64">
        <f t="shared" si="56"/>
        <v>0</v>
      </c>
      <c r="F199" s="64">
        <f t="shared" si="56"/>
        <v>0</v>
      </c>
      <c r="G199" s="64">
        <f t="shared" si="56"/>
        <v>0</v>
      </c>
      <c r="H199" s="64">
        <f t="shared" si="56"/>
        <v>0</v>
      </c>
      <c r="I199" s="64">
        <f t="shared" si="56"/>
        <v>0</v>
      </c>
      <c r="J199" s="64">
        <f t="shared" si="56"/>
        <v>0</v>
      </c>
      <c r="K199" s="62"/>
      <c r="U199" s="62"/>
      <c r="V199" s="62"/>
      <c r="W199" s="62"/>
    </row>
    <row r="200" spans="1:23">
      <c r="A200" s="63" t="str">
        <f t="shared" si="55"/>
        <v>Green Gram/ Moong</v>
      </c>
      <c r="B200" s="63"/>
      <c r="C200" s="187">
        <v>80</v>
      </c>
      <c r="D200" s="64">
        <f t="shared" si="56"/>
        <v>0</v>
      </c>
      <c r="E200" s="64">
        <f t="shared" si="56"/>
        <v>0</v>
      </c>
      <c r="F200" s="64">
        <f t="shared" si="56"/>
        <v>0</v>
      </c>
      <c r="G200" s="64">
        <f t="shared" si="56"/>
        <v>0</v>
      </c>
      <c r="H200" s="64">
        <f t="shared" si="56"/>
        <v>0</v>
      </c>
      <c r="I200" s="64">
        <f t="shared" si="56"/>
        <v>0</v>
      </c>
      <c r="J200" s="64">
        <f t="shared" si="56"/>
        <v>0</v>
      </c>
      <c r="K200" s="62"/>
      <c r="L200" s="62"/>
      <c r="M200" s="62"/>
      <c r="N200" s="62"/>
      <c r="O200" s="62"/>
      <c r="P200" s="62"/>
      <c r="Q200" s="62"/>
      <c r="R200" s="62"/>
      <c r="S200" s="62"/>
      <c r="T200" s="62"/>
      <c r="U200" s="62"/>
      <c r="V200" s="62"/>
      <c r="W200" s="62"/>
    </row>
    <row r="201" spans="1:23">
      <c r="A201" s="63" t="str">
        <f t="shared" si="55"/>
        <v>Maize</v>
      </c>
      <c r="B201" s="63"/>
      <c r="C201" s="187">
        <v>25</v>
      </c>
      <c r="D201" s="64">
        <f t="shared" si="56"/>
        <v>0</v>
      </c>
      <c r="E201" s="64">
        <f t="shared" si="56"/>
        <v>0</v>
      </c>
      <c r="F201" s="64">
        <f t="shared" si="56"/>
        <v>0</v>
      </c>
      <c r="G201" s="64">
        <f t="shared" si="56"/>
        <v>0</v>
      </c>
      <c r="H201" s="64">
        <f t="shared" si="56"/>
        <v>0</v>
      </c>
      <c r="I201" s="64">
        <f t="shared" si="56"/>
        <v>0</v>
      </c>
      <c r="J201" s="64">
        <f t="shared" si="56"/>
        <v>0</v>
      </c>
      <c r="K201" s="62"/>
      <c r="L201" s="62"/>
      <c r="M201" s="62"/>
      <c r="N201" s="62"/>
      <c r="O201" s="62"/>
      <c r="P201" s="62"/>
      <c r="Q201" s="62"/>
      <c r="R201" s="62"/>
      <c r="S201" s="62"/>
      <c r="T201" s="62"/>
      <c r="U201" s="62"/>
      <c r="V201" s="62"/>
      <c r="W201" s="62"/>
    </row>
    <row r="202" spans="1:23">
      <c r="A202" s="63" t="str">
        <f t="shared" si="55"/>
        <v>Black Gram/Udid</v>
      </c>
      <c r="B202" s="63"/>
      <c r="C202" s="187">
        <v>70</v>
      </c>
      <c r="D202" s="64">
        <f t="shared" si="56"/>
        <v>0</v>
      </c>
      <c r="E202" s="64">
        <f t="shared" si="56"/>
        <v>0</v>
      </c>
      <c r="F202" s="64">
        <f t="shared" si="56"/>
        <v>0</v>
      </c>
      <c r="G202" s="64">
        <f t="shared" si="56"/>
        <v>0</v>
      </c>
      <c r="H202" s="64">
        <f t="shared" si="56"/>
        <v>0</v>
      </c>
      <c r="I202" s="64">
        <f t="shared" si="56"/>
        <v>0</v>
      </c>
      <c r="J202" s="64">
        <f t="shared" si="56"/>
        <v>0</v>
      </c>
      <c r="K202" s="62"/>
      <c r="L202" s="62"/>
      <c r="M202" s="62"/>
      <c r="N202" s="62"/>
      <c r="O202" s="62"/>
      <c r="P202" s="62"/>
      <c r="Q202" s="62"/>
      <c r="R202" s="62"/>
      <c r="S202" s="62"/>
      <c r="T202" s="62"/>
      <c r="U202" s="62"/>
      <c r="V202" s="62"/>
      <c r="W202" s="62"/>
    </row>
    <row r="203" spans="1:23">
      <c r="A203" s="63" t="str">
        <f t="shared" si="55"/>
        <v>Bajra</v>
      </c>
      <c r="B203" s="63"/>
      <c r="C203" s="187">
        <v>25</v>
      </c>
      <c r="D203" s="64">
        <f t="shared" si="56"/>
        <v>0</v>
      </c>
      <c r="E203" s="64">
        <f t="shared" si="56"/>
        <v>0</v>
      </c>
      <c r="F203" s="64">
        <f t="shared" si="56"/>
        <v>0</v>
      </c>
      <c r="G203" s="64">
        <f t="shared" si="56"/>
        <v>0</v>
      </c>
      <c r="H203" s="64">
        <f t="shared" si="56"/>
        <v>0</v>
      </c>
      <c r="I203" s="64">
        <f t="shared" si="56"/>
        <v>0</v>
      </c>
      <c r="J203" s="64">
        <f t="shared" si="56"/>
        <v>0</v>
      </c>
      <c r="K203" s="62"/>
      <c r="L203" s="62"/>
      <c r="M203" s="62"/>
      <c r="N203" s="62"/>
      <c r="O203" s="62"/>
      <c r="P203" s="62"/>
      <c r="Q203" s="62"/>
      <c r="R203" s="62"/>
      <c r="S203" s="62"/>
      <c r="T203" s="62"/>
      <c r="U203" s="62"/>
      <c r="V203" s="62"/>
      <c r="W203" s="62"/>
    </row>
    <row r="204" spans="1:23">
      <c r="A204" s="63" t="str">
        <f t="shared" si="55"/>
        <v>Jawar</v>
      </c>
      <c r="B204" s="63"/>
      <c r="C204" s="187">
        <v>25</v>
      </c>
      <c r="D204" s="64">
        <f t="shared" si="56"/>
        <v>0</v>
      </c>
      <c r="E204" s="64">
        <f t="shared" si="56"/>
        <v>0</v>
      </c>
      <c r="F204" s="64">
        <f t="shared" si="56"/>
        <v>0</v>
      </c>
      <c r="G204" s="64">
        <f t="shared" si="56"/>
        <v>0</v>
      </c>
      <c r="H204" s="64">
        <f t="shared" si="56"/>
        <v>0</v>
      </c>
      <c r="I204" s="64">
        <f t="shared" si="56"/>
        <v>0</v>
      </c>
      <c r="J204" s="64">
        <f t="shared" si="56"/>
        <v>0</v>
      </c>
      <c r="K204" s="62"/>
      <c r="L204" s="62"/>
      <c r="M204" s="62"/>
      <c r="N204" s="62"/>
      <c r="O204" s="62"/>
      <c r="P204" s="62"/>
      <c r="Q204" s="62"/>
      <c r="R204" s="62"/>
      <c r="S204" s="62"/>
      <c r="T204" s="62"/>
      <c r="U204" s="62"/>
      <c r="V204" s="62"/>
      <c r="W204" s="62"/>
    </row>
    <row r="205" spans="1:23">
      <c r="A205" s="65" t="str">
        <f t="shared" si="55"/>
        <v>Rabi Crop</v>
      </c>
      <c r="B205" s="63"/>
      <c r="C205" s="187"/>
      <c r="D205" s="64">
        <f t="shared" si="56"/>
        <v>0</v>
      </c>
      <c r="E205" s="64">
        <f t="shared" si="56"/>
        <v>0</v>
      </c>
      <c r="F205" s="64">
        <f t="shared" si="56"/>
        <v>0</v>
      </c>
      <c r="G205" s="64">
        <f t="shared" si="56"/>
        <v>0</v>
      </c>
      <c r="H205" s="64">
        <f t="shared" si="56"/>
        <v>0</v>
      </c>
      <c r="I205" s="64">
        <f t="shared" si="56"/>
        <v>0</v>
      </c>
      <c r="J205" s="64">
        <f t="shared" si="56"/>
        <v>0</v>
      </c>
      <c r="K205" s="62"/>
      <c r="L205" s="62"/>
      <c r="M205" s="62"/>
      <c r="N205" s="62"/>
      <c r="O205" s="62"/>
      <c r="P205" s="62"/>
      <c r="Q205" s="62"/>
      <c r="R205" s="62"/>
      <c r="S205" s="62"/>
      <c r="T205" s="62"/>
      <c r="U205" s="62"/>
      <c r="V205" s="62"/>
      <c r="W205" s="62"/>
    </row>
    <row r="206" spans="1:23">
      <c r="A206" s="63">
        <f t="shared" si="55"/>
        <v>0</v>
      </c>
      <c r="B206" s="63"/>
      <c r="C206" s="187">
        <v>35</v>
      </c>
      <c r="D206" s="64">
        <f t="shared" si="56"/>
        <v>0</v>
      </c>
      <c r="E206" s="64">
        <f t="shared" si="56"/>
        <v>0</v>
      </c>
      <c r="F206" s="64">
        <f t="shared" si="56"/>
        <v>0</v>
      </c>
      <c r="G206" s="64">
        <f t="shared" si="56"/>
        <v>0</v>
      </c>
      <c r="H206" s="64">
        <f t="shared" si="56"/>
        <v>0</v>
      </c>
      <c r="I206" s="64">
        <f t="shared" si="56"/>
        <v>0</v>
      </c>
      <c r="J206" s="64">
        <f t="shared" si="56"/>
        <v>0</v>
      </c>
      <c r="K206" s="62"/>
      <c r="L206" s="62"/>
      <c r="M206" s="62"/>
      <c r="N206" s="62"/>
      <c r="O206" s="62"/>
      <c r="P206" s="62"/>
      <c r="Q206" s="62"/>
      <c r="R206" s="62"/>
      <c r="S206" s="62"/>
      <c r="T206" s="62"/>
      <c r="U206" s="62"/>
      <c r="V206" s="62"/>
      <c r="W206" s="62"/>
    </row>
    <row r="207" spans="1:23">
      <c r="A207" s="63">
        <f t="shared" si="55"/>
        <v>0</v>
      </c>
      <c r="B207" s="63"/>
      <c r="C207" s="187">
        <v>70</v>
      </c>
      <c r="D207" s="64">
        <f t="shared" ref="D207:J216" si="57">C72*$C207*D$124</f>
        <v>0</v>
      </c>
      <c r="E207" s="64">
        <f t="shared" si="57"/>
        <v>0</v>
      </c>
      <c r="F207" s="64">
        <f t="shared" si="57"/>
        <v>0</v>
      </c>
      <c r="G207" s="64">
        <f t="shared" si="57"/>
        <v>0</v>
      </c>
      <c r="H207" s="64">
        <f t="shared" si="57"/>
        <v>0</v>
      </c>
      <c r="I207" s="64">
        <f t="shared" si="57"/>
        <v>0</v>
      </c>
      <c r="J207" s="64">
        <f t="shared" si="57"/>
        <v>0</v>
      </c>
      <c r="K207" s="62"/>
      <c r="L207" s="62"/>
      <c r="M207" s="62"/>
      <c r="N207" s="62"/>
      <c r="O207" s="62"/>
      <c r="P207" s="62"/>
      <c r="Q207" s="62"/>
      <c r="R207" s="62"/>
      <c r="S207" s="62"/>
      <c r="T207" s="62"/>
      <c r="U207" s="62"/>
      <c r="V207" s="62"/>
      <c r="W207" s="62"/>
    </row>
    <row r="208" spans="1:23">
      <c r="A208" s="63">
        <f t="shared" si="55"/>
        <v>0</v>
      </c>
      <c r="B208" s="63"/>
      <c r="C208" s="187">
        <v>25</v>
      </c>
      <c r="D208" s="64">
        <f t="shared" si="57"/>
        <v>0</v>
      </c>
      <c r="E208" s="64">
        <f t="shared" si="57"/>
        <v>0</v>
      </c>
      <c r="F208" s="64">
        <f t="shared" si="57"/>
        <v>0</v>
      </c>
      <c r="G208" s="64">
        <f t="shared" si="57"/>
        <v>0</v>
      </c>
      <c r="H208" s="64">
        <f t="shared" si="57"/>
        <v>0</v>
      </c>
      <c r="I208" s="64">
        <f t="shared" si="57"/>
        <v>0</v>
      </c>
      <c r="J208" s="64">
        <f t="shared" si="57"/>
        <v>0</v>
      </c>
      <c r="K208" s="62"/>
      <c r="L208" s="62"/>
      <c r="M208" s="62"/>
      <c r="N208" s="62"/>
      <c r="O208" s="62"/>
      <c r="P208" s="62"/>
      <c r="Q208" s="62"/>
      <c r="R208" s="62"/>
      <c r="S208" s="62"/>
      <c r="T208" s="62"/>
      <c r="U208" s="62"/>
      <c r="V208" s="62"/>
      <c r="W208" s="62"/>
    </row>
    <row r="209" spans="1:23">
      <c r="A209" s="63">
        <f t="shared" si="55"/>
        <v>0</v>
      </c>
      <c r="B209" s="63"/>
      <c r="C209" s="187">
        <v>25</v>
      </c>
      <c r="D209" s="64">
        <f t="shared" si="57"/>
        <v>0</v>
      </c>
      <c r="E209" s="64">
        <f t="shared" si="57"/>
        <v>0</v>
      </c>
      <c r="F209" s="64">
        <f t="shared" si="57"/>
        <v>0</v>
      </c>
      <c r="G209" s="64">
        <f t="shared" si="57"/>
        <v>0</v>
      </c>
      <c r="H209" s="64">
        <f t="shared" si="57"/>
        <v>0</v>
      </c>
      <c r="I209" s="64">
        <f t="shared" si="57"/>
        <v>0</v>
      </c>
      <c r="J209" s="64">
        <f t="shared" si="57"/>
        <v>0</v>
      </c>
      <c r="K209" s="62"/>
      <c r="L209" s="62"/>
      <c r="M209" s="62"/>
      <c r="N209" s="62"/>
      <c r="O209" s="62"/>
      <c r="P209" s="62"/>
      <c r="Q209" s="62"/>
      <c r="R209" s="62"/>
      <c r="S209" s="62"/>
      <c r="T209" s="62"/>
      <c r="U209" s="62"/>
      <c r="V209" s="62"/>
      <c r="W209" s="62"/>
    </row>
    <row r="210" spans="1:23">
      <c r="A210" s="63">
        <f t="shared" si="55"/>
        <v>0</v>
      </c>
      <c r="B210" s="63"/>
      <c r="C210" s="187">
        <v>25</v>
      </c>
      <c r="D210" s="64">
        <f t="shared" si="57"/>
        <v>0</v>
      </c>
      <c r="E210" s="64">
        <f t="shared" si="57"/>
        <v>0</v>
      </c>
      <c r="F210" s="64">
        <f t="shared" si="57"/>
        <v>0</v>
      </c>
      <c r="G210" s="64">
        <f t="shared" si="57"/>
        <v>0</v>
      </c>
      <c r="H210" s="64">
        <f t="shared" si="57"/>
        <v>0</v>
      </c>
      <c r="I210" s="64">
        <f t="shared" si="57"/>
        <v>0</v>
      </c>
      <c r="J210" s="64">
        <f t="shared" si="57"/>
        <v>0</v>
      </c>
      <c r="K210" s="62"/>
      <c r="L210" s="62"/>
      <c r="M210" s="62"/>
      <c r="N210" s="62"/>
      <c r="O210" s="62"/>
      <c r="P210" s="62"/>
      <c r="Q210" s="62"/>
      <c r="R210" s="62"/>
      <c r="S210" s="62"/>
      <c r="T210" s="62"/>
      <c r="U210" s="62"/>
      <c r="V210" s="62"/>
      <c r="W210" s="62"/>
    </row>
    <row r="211" spans="1:23">
      <c r="A211" s="63">
        <f t="shared" si="55"/>
        <v>0</v>
      </c>
      <c r="B211" s="63"/>
      <c r="C211" s="187"/>
      <c r="D211" s="64">
        <f t="shared" si="57"/>
        <v>0</v>
      </c>
      <c r="E211" s="64">
        <f t="shared" si="57"/>
        <v>0</v>
      </c>
      <c r="F211" s="64">
        <f t="shared" si="57"/>
        <v>0</v>
      </c>
      <c r="G211" s="64">
        <f t="shared" si="57"/>
        <v>0</v>
      </c>
      <c r="H211" s="64">
        <f t="shared" si="57"/>
        <v>0</v>
      </c>
      <c r="I211" s="64">
        <f t="shared" si="57"/>
        <v>0</v>
      </c>
      <c r="J211" s="64">
        <f t="shared" si="57"/>
        <v>0</v>
      </c>
      <c r="K211" s="62"/>
      <c r="L211" s="62"/>
      <c r="M211" s="62"/>
      <c r="N211" s="62"/>
      <c r="O211" s="62"/>
      <c r="P211" s="62"/>
      <c r="Q211" s="62"/>
      <c r="R211" s="62"/>
      <c r="S211" s="62"/>
      <c r="T211" s="62"/>
      <c r="U211" s="62"/>
      <c r="V211" s="62"/>
      <c r="W211" s="62"/>
    </row>
    <row r="212" spans="1:23">
      <c r="A212" s="63">
        <f t="shared" si="55"/>
        <v>0</v>
      </c>
      <c r="B212" s="63"/>
      <c r="C212" s="187"/>
      <c r="D212" s="64">
        <f t="shared" si="57"/>
        <v>0</v>
      </c>
      <c r="E212" s="64">
        <f t="shared" si="57"/>
        <v>0</v>
      </c>
      <c r="F212" s="64">
        <f t="shared" si="57"/>
        <v>0</v>
      </c>
      <c r="G212" s="64">
        <f t="shared" si="57"/>
        <v>0</v>
      </c>
      <c r="H212" s="64">
        <f t="shared" si="57"/>
        <v>0</v>
      </c>
      <c r="I212" s="64">
        <f t="shared" si="57"/>
        <v>0</v>
      </c>
      <c r="J212" s="64">
        <f t="shared" si="57"/>
        <v>0</v>
      </c>
      <c r="K212" s="62"/>
      <c r="L212" s="62"/>
      <c r="M212" s="62"/>
      <c r="N212" s="62"/>
      <c r="O212" s="62"/>
      <c r="P212" s="62"/>
      <c r="Q212" s="62"/>
      <c r="R212" s="62"/>
      <c r="S212" s="62"/>
      <c r="T212" s="62"/>
      <c r="U212" s="62"/>
      <c r="V212" s="62"/>
      <c r="W212" s="62"/>
    </row>
    <row r="213" spans="1:23">
      <c r="A213" s="63">
        <f t="shared" si="55"/>
        <v>0</v>
      </c>
      <c r="B213" s="63"/>
      <c r="C213" s="187"/>
      <c r="D213" s="64">
        <f t="shared" si="57"/>
        <v>0</v>
      </c>
      <c r="E213" s="64">
        <f t="shared" si="57"/>
        <v>0</v>
      </c>
      <c r="F213" s="64">
        <f t="shared" si="57"/>
        <v>0</v>
      </c>
      <c r="G213" s="64">
        <f t="shared" si="57"/>
        <v>0</v>
      </c>
      <c r="H213" s="64">
        <f t="shared" si="57"/>
        <v>0</v>
      </c>
      <c r="I213" s="64">
        <f t="shared" si="57"/>
        <v>0</v>
      </c>
      <c r="J213" s="64">
        <f t="shared" si="57"/>
        <v>0</v>
      </c>
      <c r="K213" s="62"/>
      <c r="L213" s="62"/>
      <c r="M213" s="62"/>
      <c r="N213" s="62"/>
      <c r="O213" s="62"/>
      <c r="P213" s="62"/>
      <c r="Q213" s="62"/>
      <c r="R213" s="62"/>
      <c r="S213" s="62"/>
      <c r="T213" s="62"/>
      <c r="U213" s="62"/>
      <c r="V213" s="62"/>
      <c r="W213" s="62"/>
    </row>
    <row r="214" spans="1:23">
      <c r="A214" s="63" t="str">
        <f t="shared" si="55"/>
        <v>Summer</v>
      </c>
      <c r="B214" s="63"/>
      <c r="C214" s="187"/>
      <c r="D214" s="64">
        <f t="shared" si="57"/>
        <v>0</v>
      </c>
      <c r="E214" s="64">
        <f t="shared" si="57"/>
        <v>0</v>
      </c>
      <c r="F214" s="64">
        <f t="shared" si="57"/>
        <v>0</v>
      </c>
      <c r="G214" s="64">
        <f t="shared" si="57"/>
        <v>0</v>
      </c>
      <c r="H214" s="64">
        <f t="shared" si="57"/>
        <v>0</v>
      </c>
      <c r="I214" s="64">
        <f t="shared" si="57"/>
        <v>0</v>
      </c>
      <c r="J214" s="64">
        <f t="shared" si="57"/>
        <v>0</v>
      </c>
      <c r="K214" s="62"/>
      <c r="L214" s="62"/>
      <c r="M214" s="62"/>
      <c r="N214" s="62"/>
      <c r="O214" s="62"/>
      <c r="P214" s="62"/>
      <c r="Q214" s="62"/>
      <c r="R214" s="62"/>
      <c r="S214" s="62"/>
      <c r="T214" s="62"/>
      <c r="U214" s="62"/>
      <c r="V214" s="62"/>
      <c r="W214" s="62"/>
    </row>
    <row r="215" spans="1:23">
      <c r="A215" s="63" t="str">
        <f t="shared" si="55"/>
        <v>Groundnut</v>
      </c>
      <c r="B215" s="63"/>
      <c r="C215" s="187"/>
      <c r="D215" s="64">
        <f t="shared" si="57"/>
        <v>0</v>
      </c>
      <c r="E215" s="64">
        <f t="shared" si="57"/>
        <v>0</v>
      </c>
      <c r="F215" s="64">
        <f t="shared" si="57"/>
        <v>0</v>
      </c>
      <c r="G215" s="64">
        <f t="shared" si="57"/>
        <v>0</v>
      </c>
      <c r="H215" s="64">
        <f t="shared" si="57"/>
        <v>0</v>
      </c>
      <c r="I215" s="64">
        <f t="shared" si="57"/>
        <v>0</v>
      </c>
      <c r="J215" s="64">
        <f t="shared" si="57"/>
        <v>0</v>
      </c>
      <c r="K215" s="62"/>
      <c r="L215" s="62"/>
      <c r="M215" s="62"/>
      <c r="N215" s="62"/>
      <c r="O215" s="62"/>
      <c r="P215" s="62"/>
      <c r="Q215" s="62"/>
      <c r="R215" s="62"/>
      <c r="S215" s="62"/>
      <c r="T215" s="62"/>
      <c r="U215" s="62"/>
      <c r="V215" s="62"/>
      <c r="W215" s="62"/>
    </row>
    <row r="216" spans="1:23">
      <c r="A216" s="63">
        <f t="shared" si="55"/>
        <v>0</v>
      </c>
      <c r="B216" s="63"/>
      <c r="C216" s="187"/>
      <c r="D216" s="64">
        <f t="shared" si="57"/>
        <v>0</v>
      </c>
      <c r="E216" s="64">
        <f t="shared" si="57"/>
        <v>0</v>
      </c>
      <c r="F216" s="64">
        <f t="shared" si="57"/>
        <v>0</v>
      </c>
      <c r="G216" s="64">
        <f t="shared" si="57"/>
        <v>0</v>
      </c>
      <c r="H216" s="64">
        <f t="shared" si="57"/>
        <v>0</v>
      </c>
      <c r="I216" s="64">
        <f t="shared" si="57"/>
        <v>0</v>
      </c>
      <c r="J216" s="64">
        <f t="shared" si="57"/>
        <v>0</v>
      </c>
      <c r="K216" s="62"/>
      <c r="L216" s="62"/>
      <c r="M216" s="62"/>
      <c r="N216" s="62"/>
      <c r="O216" s="62"/>
      <c r="P216" s="62"/>
      <c r="Q216" s="62"/>
      <c r="R216" s="62"/>
      <c r="S216" s="62"/>
      <c r="T216" s="62"/>
      <c r="U216" s="62"/>
      <c r="V216" s="62"/>
      <c r="W216" s="62"/>
    </row>
    <row r="217" spans="1:23">
      <c r="A217" s="63">
        <f t="shared" si="55"/>
        <v>0</v>
      </c>
      <c r="B217" s="63"/>
      <c r="C217" s="187"/>
      <c r="D217" s="64">
        <f t="shared" ref="D217:J219" si="58">C82*$C217*D$124</f>
        <v>0</v>
      </c>
      <c r="E217" s="64">
        <f t="shared" si="58"/>
        <v>0</v>
      </c>
      <c r="F217" s="64">
        <f t="shared" si="58"/>
        <v>0</v>
      </c>
      <c r="G217" s="64">
        <f t="shared" si="58"/>
        <v>0</v>
      </c>
      <c r="H217" s="64">
        <f t="shared" si="58"/>
        <v>0</v>
      </c>
      <c r="I217" s="64">
        <f t="shared" si="58"/>
        <v>0</v>
      </c>
      <c r="J217" s="64">
        <f t="shared" si="58"/>
        <v>0</v>
      </c>
      <c r="K217" s="62"/>
      <c r="L217" s="62"/>
      <c r="M217" s="62"/>
      <c r="N217" s="62"/>
      <c r="O217" s="62"/>
      <c r="P217" s="62"/>
      <c r="Q217" s="62"/>
      <c r="R217" s="62"/>
      <c r="S217" s="62"/>
      <c r="T217" s="62"/>
      <c r="U217" s="62"/>
      <c r="V217" s="62"/>
      <c r="W217" s="62"/>
    </row>
    <row r="218" spans="1:23">
      <c r="A218" s="63">
        <f t="shared" si="55"/>
        <v>0</v>
      </c>
      <c r="B218" s="63"/>
      <c r="C218" s="187"/>
      <c r="D218" s="64">
        <f t="shared" si="58"/>
        <v>0</v>
      </c>
      <c r="E218" s="64">
        <f t="shared" si="58"/>
        <v>0</v>
      </c>
      <c r="F218" s="64">
        <f t="shared" si="58"/>
        <v>0</v>
      </c>
      <c r="G218" s="64">
        <f t="shared" si="58"/>
        <v>0</v>
      </c>
      <c r="H218" s="64">
        <f t="shared" si="58"/>
        <v>0</v>
      </c>
      <c r="I218" s="64">
        <f t="shared" si="58"/>
        <v>0</v>
      </c>
      <c r="J218" s="64">
        <f t="shared" si="58"/>
        <v>0</v>
      </c>
      <c r="K218" s="62"/>
      <c r="L218" s="62"/>
      <c r="M218" s="62"/>
      <c r="N218" s="62"/>
      <c r="O218" s="62"/>
      <c r="P218" s="62"/>
      <c r="Q218" s="62"/>
      <c r="R218" s="62"/>
      <c r="S218" s="62"/>
      <c r="T218" s="62"/>
      <c r="U218" s="62"/>
      <c r="V218" s="62"/>
      <c r="W218" s="62"/>
    </row>
    <row r="219" spans="1:23">
      <c r="A219" s="63">
        <f t="shared" si="55"/>
        <v>0</v>
      </c>
      <c r="B219" s="63"/>
      <c r="C219" s="187"/>
      <c r="D219" s="64">
        <f t="shared" si="58"/>
        <v>0</v>
      </c>
      <c r="E219" s="64">
        <f t="shared" si="58"/>
        <v>0</v>
      </c>
      <c r="F219" s="64">
        <f t="shared" si="58"/>
        <v>0</v>
      </c>
      <c r="G219" s="64">
        <f t="shared" si="58"/>
        <v>0</v>
      </c>
      <c r="H219" s="64">
        <f t="shared" si="58"/>
        <v>0</v>
      </c>
      <c r="I219" s="64">
        <f t="shared" si="58"/>
        <v>0</v>
      </c>
      <c r="J219" s="64">
        <f t="shared" si="58"/>
        <v>0</v>
      </c>
      <c r="K219" s="62"/>
      <c r="L219" s="62"/>
      <c r="M219" s="62"/>
      <c r="N219" s="62"/>
      <c r="O219" s="62"/>
      <c r="P219" s="62"/>
      <c r="Q219" s="62"/>
      <c r="R219" s="62"/>
      <c r="S219" s="62"/>
      <c r="T219" s="62"/>
      <c r="U219" s="62"/>
      <c r="V219" s="62"/>
      <c r="W219" s="62"/>
    </row>
    <row r="220" spans="1:23">
      <c r="A220" s="63" t="str">
        <f t="shared" si="55"/>
        <v>Grain Crop Production Details</v>
      </c>
      <c r="B220" s="63"/>
      <c r="C220" s="64"/>
      <c r="D220" s="64"/>
      <c r="E220" s="64"/>
      <c r="F220" s="64"/>
      <c r="G220" s="64"/>
      <c r="H220" s="64"/>
      <c r="I220" s="64"/>
      <c r="J220" s="64"/>
      <c r="K220" s="62"/>
      <c r="L220" s="62"/>
      <c r="M220" s="62"/>
      <c r="N220" s="62"/>
      <c r="O220" s="62"/>
      <c r="P220" s="62"/>
      <c r="Q220" s="62"/>
      <c r="R220" s="62"/>
      <c r="S220" s="62"/>
      <c r="T220" s="62"/>
      <c r="U220" s="62"/>
      <c r="V220" s="62"/>
      <c r="W220" s="62"/>
    </row>
    <row r="221" spans="1:23">
      <c r="A221" s="63">
        <f t="shared" si="55"/>
        <v>0</v>
      </c>
      <c r="B221" s="63"/>
      <c r="C221" s="187"/>
      <c r="D221" s="64">
        <f t="shared" ref="D221:J230" si="59">C86*$C221*D$124</f>
        <v>0</v>
      </c>
      <c r="E221" s="64">
        <f t="shared" si="59"/>
        <v>0</v>
      </c>
      <c r="F221" s="64">
        <f t="shared" si="59"/>
        <v>0</v>
      </c>
      <c r="G221" s="64">
        <f t="shared" si="59"/>
        <v>0</v>
      </c>
      <c r="H221" s="64">
        <f t="shared" si="59"/>
        <v>0</v>
      </c>
      <c r="I221" s="64">
        <f t="shared" si="59"/>
        <v>0</v>
      </c>
      <c r="J221" s="64">
        <f t="shared" si="59"/>
        <v>0</v>
      </c>
      <c r="K221" s="62"/>
      <c r="L221" s="62"/>
      <c r="M221" s="62"/>
      <c r="N221" s="62"/>
      <c r="O221" s="62"/>
      <c r="P221" s="62"/>
      <c r="Q221" s="62"/>
      <c r="R221" s="62"/>
      <c r="S221" s="62"/>
      <c r="T221" s="62"/>
      <c r="U221" s="62"/>
      <c r="V221" s="62"/>
      <c r="W221" s="62"/>
    </row>
    <row r="222" spans="1:23">
      <c r="A222" s="63" t="e">
        <f t="shared" si="55"/>
        <v>#REF!</v>
      </c>
      <c r="B222" s="63"/>
      <c r="C222" s="187"/>
      <c r="D222" s="64" t="e">
        <f t="shared" si="59"/>
        <v>#REF!</v>
      </c>
      <c r="E222" s="64" t="e">
        <f t="shared" si="59"/>
        <v>#REF!</v>
      </c>
      <c r="F222" s="64" t="e">
        <f t="shared" si="59"/>
        <v>#REF!</v>
      </c>
      <c r="G222" s="64" t="e">
        <f t="shared" si="59"/>
        <v>#REF!</v>
      </c>
      <c r="H222" s="64" t="e">
        <f t="shared" si="59"/>
        <v>#REF!</v>
      </c>
      <c r="I222" s="64" t="e">
        <f t="shared" si="59"/>
        <v>#REF!</v>
      </c>
      <c r="J222" s="64" t="e">
        <f t="shared" si="59"/>
        <v>#REF!</v>
      </c>
      <c r="K222" s="62"/>
      <c r="L222" s="62"/>
      <c r="M222" s="62"/>
      <c r="N222" s="62"/>
      <c r="O222" s="62"/>
      <c r="P222" s="62"/>
      <c r="Q222" s="62"/>
      <c r="R222" s="62"/>
      <c r="S222" s="62"/>
      <c r="T222" s="62"/>
      <c r="U222" s="62"/>
      <c r="V222" s="62"/>
      <c r="W222" s="62"/>
    </row>
    <row r="223" spans="1:23">
      <c r="A223" s="63" t="e">
        <f t="shared" si="55"/>
        <v>#REF!</v>
      </c>
      <c r="B223" s="63"/>
      <c r="C223" s="187"/>
      <c r="D223" s="64" t="e">
        <f t="shared" si="59"/>
        <v>#REF!</v>
      </c>
      <c r="E223" s="64" t="e">
        <f t="shared" si="59"/>
        <v>#REF!</v>
      </c>
      <c r="F223" s="64" t="e">
        <f t="shared" si="59"/>
        <v>#REF!</v>
      </c>
      <c r="G223" s="64" t="e">
        <f t="shared" si="59"/>
        <v>#REF!</v>
      </c>
      <c r="H223" s="64" t="e">
        <f t="shared" si="59"/>
        <v>#REF!</v>
      </c>
      <c r="I223" s="64" t="e">
        <f t="shared" si="59"/>
        <v>#REF!</v>
      </c>
      <c r="J223" s="64" t="e">
        <f t="shared" si="59"/>
        <v>#REF!</v>
      </c>
      <c r="K223" s="62"/>
      <c r="L223" s="62"/>
      <c r="M223" s="62"/>
      <c r="N223" s="62"/>
      <c r="O223" s="62"/>
      <c r="P223" s="62"/>
      <c r="Q223" s="62"/>
      <c r="R223" s="62"/>
      <c r="S223" s="62"/>
      <c r="T223" s="62"/>
      <c r="U223" s="62"/>
      <c r="V223" s="62"/>
      <c r="W223" s="62"/>
    </row>
    <row r="224" spans="1:23">
      <c r="A224" s="63" t="str">
        <f t="shared" si="55"/>
        <v>-</v>
      </c>
      <c r="B224" s="63"/>
      <c r="C224" s="187"/>
      <c r="D224" s="64">
        <f t="shared" si="59"/>
        <v>0</v>
      </c>
      <c r="E224" s="64">
        <f t="shared" si="59"/>
        <v>0</v>
      </c>
      <c r="F224" s="64">
        <f t="shared" si="59"/>
        <v>0</v>
      </c>
      <c r="G224" s="64">
        <f t="shared" si="59"/>
        <v>0</v>
      </c>
      <c r="H224" s="64">
        <f t="shared" si="59"/>
        <v>0</v>
      </c>
      <c r="I224" s="64">
        <f t="shared" si="59"/>
        <v>0</v>
      </c>
      <c r="J224" s="64">
        <f t="shared" si="59"/>
        <v>0</v>
      </c>
      <c r="K224" s="62"/>
      <c r="L224" s="62"/>
      <c r="M224" s="62"/>
      <c r="N224" s="62"/>
      <c r="O224" s="62"/>
      <c r="P224" s="62"/>
      <c r="Q224" s="62"/>
      <c r="R224" s="62"/>
      <c r="S224" s="62"/>
      <c r="T224" s="62"/>
      <c r="U224" s="62"/>
      <c r="V224" s="62"/>
      <c r="W224" s="62"/>
    </row>
    <row r="225" spans="1:23">
      <c r="A225" s="63" t="e">
        <f t="shared" si="55"/>
        <v>#REF!</v>
      </c>
      <c r="B225" s="63"/>
      <c r="C225" s="187"/>
      <c r="D225" s="64" t="e">
        <f t="shared" si="59"/>
        <v>#REF!</v>
      </c>
      <c r="E225" s="64" t="e">
        <f t="shared" si="59"/>
        <v>#REF!</v>
      </c>
      <c r="F225" s="64" t="e">
        <f t="shared" si="59"/>
        <v>#REF!</v>
      </c>
      <c r="G225" s="64" t="e">
        <f t="shared" si="59"/>
        <v>#REF!</v>
      </c>
      <c r="H225" s="64" t="e">
        <f t="shared" si="59"/>
        <v>#REF!</v>
      </c>
      <c r="I225" s="64" t="e">
        <f t="shared" si="59"/>
        <v>#REF!</v>
      </c>
      <c r="J225" s="64" t="e">
        <f t="shared" si="59"/>
        <v>#REF!</v>
      </c>
      <c r="K225" s="62"/>
      <c r="L225" s="62"/>
      <c r="M225" s="62"/>
      <c r="N225" s="62"/>
      <c r="O225" s="62"/>
      <c r="P225" s="62"/>
      <c r="Q225" s="62"/>
      <c r="R225" s="62"/>
      <c r="S225" s="62"/>
      <c r="T225" s="62"/>
      <c r="U225" s="62"/>
      <c r="V225" s="62"/>
      <c r="W225" s="62"/>
    </row>
    <row r="226" spans="1:23">
      <c r="A226" s="63" t="e">
        <f t="shared" si="55"/>
        <v>#REF!</v>
      </c>
      <c r="B226" s="63"/>
      <c r="C226" s="187"/>
      <c r="D226" s="64" t="e">
        <f t="shared" si="59"/>
        <v>#REF!</v>
      </c>
      <c r="E226" s="64" t="e">
        <f t="shared" si="59"/>
        <v>#REF!</v>
      </c>
      <c r="F226" s="64" t="e">
        <f t="shared" si="59"/>
        <v>#REF!</v>
      </c>
      <c r="G226" s="64" t="e">
        <f t="shared" si="59"/>
        <v>#REF!</v>
      </c>
      <c r="H226" s="64" t="e">
        <f t="shared" si="59"/>
        <v>#REF!</v>
      </c>
      <c r="I226" s="64" t="e">
        <f t="shared" si="59"/>
        <v>#REF!</v>
      </c>
      <c r="J226" s="64" t="e">
        <f t="shared" si="59"/>
        <v>#REF!</v>
      </c>
      <c r="K226" s="62"/>
      <c r="L226" s="62"/>
      <c r="M226" s="62"/>
      <c r="N226" s="62"/>
      <c r="O226" s="62"/>
      <c r="P226" s="62"/>
      <c r="Q226" s="62"/>
      <c r="R226" s="62"/>
      <c r="S226" s="62"/>
      <c r="T226" s="62"/>
      <c r="U226" s="62"/>
      <c r="V226" s="62"/>
      <c r="W226" s="62"/>
    </row>
    <row r="227" spans="1:23">
      <c r="A227" s="63" t="e">
        <f t="shared" si="55"/>
        <v>#REF!</v>
      </c>
      <c r="B227" s="63"/>
      <c r="C227" s="187"/>
      <c r="D227" s="64" t="e">
        <f t="shared" si="59"/>
        <v>#REF!</v>
      </c>
      <c r="E227" s="64" t="e">
        <f t="shared" si="59"/>
        <v>#REF!</v>
      </c>
      <c r="F227" s="64" t="e">
        <f t="shared" si="59"/>
        <v>#REF!</v>
      </c>
      <c r="G227" s="64" t="e">
        <f t="shared" si="59"/>
        <v>#REF!</v>
      </c>
      <c r="H227" s="64" t="e">
        <f t="shared" si="59"/>
        <v>#REF!</v>
      </c>
      <c r="I227" s="64" t="e">
        <f t="shared" si="59"/>
        <v>#REF!</v>
      </c>
      <c r="J227" s="64" t="e">
        <f t="shared" si="59"/>
        <v>#REF!</v>
      </c>
      <c r="K227" s="62"/>
      <c r="L227" s="62"/>
      <c r="M227" s="62"/>
      <c r="N227" s="62"/>
      <c r="O227" s="62"/>
      <c r="P227" s="62"/>
      <c r="Q227" s="62"/>
      <c r="R227" s="62"/>
      <c r="S227" s="62"/>
      <c r="T227" s="62"/>
      <c r="U227" s="62"/>
      <c r="V227" s="62"/>
      <c r="W227" s="62"/>
    </row>
    <row r="228" spans="1:23">
      <c r="A228" s="63" t="e">
        <f t="shared" si="55"/>
        <v>#REF!</v>
      </c>
      <c r="B228" s="63"/>
      <c r="C228" s="187"/>
      <c r="D228" s="64" t="e">
        <f t="shared" si="59"/>
        <v>#REF!</v>
      </c>
      <c r="E228" s="64" t="e">
        <f t="shared" si="59"/>
        <v>#REF!</v>
      </c>
      <c r="F228" s="64" t="e">
        <f t="shared" si="59"/>
        <v>#REF!</v>
      </c>
      <c r="G228" s="64" t="e">
        <f t="shared" si="59"/>
        <v>#REF!</v>
      </c>
      <c r="H228" s="64" t="e">
        <f t="shared" si="59"/>
        <v>#REF!</v>
      </c>
      <c r="I228" s="64" t="e">
        <f t="shared" si="59"/>
        <v>#REF!</v>
      </c>
      <c r="J228" s="64" t="e">
        <f t="shared" si="59"/>
        <v>#REF!</v>
      </c>
      <c r="K228" s="62"/>
      <c r="L228" s="62"/>
      <c r="M228" s="62"/>
      <c r="N228" s="62"/>
      <c r="O228" s="62"/>
      <c r="P228" s="62"/>
      <c r="Q228" s="62"/>
      <c r="R228" s="62"/>
      <c r="S228" s="62"/>
      <c r="T228" s="62"/>
      <c r="U228" s="62"/>
      <c r="V228" s="62"/>
      <c r="W228" s="62"/>
    </row>
    <row r="229" spans="1:23">
      <c r="A229" s="63" t="e">
        <f t="shared" si="55"/>
        <v>#REF!</v>
      </c>
      <c r="B229" s="63"/>
      <c r="C229" s="187"/>
      <c r="D229" s="64" t="e">
        <f t="shared" si="59"/>
        <v>#REF!</v>
      </c>
      <c r="E229" s="64" t="e">
        <f t="shared" si="59"/>
        <v>#REF!</v>
      </c>
      <c r="F229" s="64" t="e">
        <f t="shared" si="59"/>
        <v>#REF!</v>
      </c>
      <c r="G229" s="64" t="e">
        <f t="shared" si="59"/>
        <v>#REF!</v>
      </c>
      <c r="H229" s="64" t="e">
        <f t="shared" si="59"/>
        <v>#REF!</v>
      </c>
      <c r="I229" s="64" t="e">
        <f t="shared" si="59"/>
        <v>#REF!</v>
      </c>
      <c r="J229" s="64" t="e">
        <f t="shared" si="59"/>
        <v>#REF!</v>
      </c>
      <c r="K229" s="62"/>
      <c r="L229" s="62"/>
      <c r="M229" s="62"/>
      <c r="N229" s="62"/>
      <c r="O229" s="62"/>
      <c r="P229" s="62"/>
      <c r="Q229" s="62"/>
      <c r="R229" s="62"/>
      <c r="S229" s="62"/>
      <c r="T229" s="62"/>
      <c r="U229" s="62"/>
      <c r="V229" s="62"/>
      <c r="W229" s="62"/>
    </row>
    <row r="230" spans="1:23">
      <c r="A230" s="63" t="e">
        <f t="shared" si="55"/>
        <v>#REF!</v>
      </c>
      <c r="B230" s="63"/>
      <c r="C230" s="187"/>
      <c r="D230" s="64" t="e">
        <f t="shared" si="59"/>
        <v>#REF!</v>
      </c>
      <c r="E230" s="64" t="e">
        <f t="shared" si="59"/>
        <v>#REF!</v>
      </c>
      <c r="F230" s="64" t="e">
        <f t="shared" si="59"/>
        <v>#REF!</v>
      </c>
      <c r="G230" s="64" t="e">
        <f t="shared" si="59"/>
        <v>#REF!</v>
      </c>
      <c r="H230" s="64" t="e">
        <f t="shared" si="59"/>
        <v>#REF!</v>
      </c>
      <c r="I230" s="64" t="e">
        <f t="shared" si="59"/>
        <v>#REF!</v>
      </c>
      <c r="J230" s="64" t="e">
        <f t="shared" si="59"/>
        <v>#REF!</v>
      </c>
      <c r="K230" s="62"/>
      <c r="L230" s="62"/>
      <c r="M230" s="62"/>
      <c r="N230" s="62"/>
      <c r="O230" s="62"/>
      <c r="P230" s="62"/>
      <c r="Q230" s="62"/>
      <c r="R230" s="62"/>
      <c r="S230" s="62"/>
      <c r="T230" s="62"/>
      <c r="U230" s="62"/>
      <c r="V230" s="62"/>
      <c r="W230" s="62"/>
    </row>
    <row r="231" spans="1:23">
      <c r="A231" s="63" t="e">
        <f t="shared" si="55"/>
        <v>#REF!</v>
      </c>
      <c r="B231" s="63"/>
      <c r="C231" s="187"/>
      <c r="D231" s="64" t="e">
        <f t="shared" ref="D231:J238" si="60">C96*$C231*D$124</f>
        <v>#REF!</v>
      </c>
      <c r="E231" s="64" t="e">
        <f t="shared" si="60"/>
        <v>#REF!</v>
      </c>
      <c r="F231" s="64" t="e">
        <f t="shared" si="60"/>
        <v>#REF!</v>
      </c>
      <c r="G231" s="64" t="e">
        <f t="shared" si="60"/>
        <v>#REF!</v>
      </c>
      <c r="H231" s="64" t="e">
        <f t="shared" si="60"/>
        <v>#REF!</v>
      </c>
      <c r="I231" s="64" t="e">
        <f t="shared" si="60"/>
        <v>#REF!</v>
      </c>
      <c r="J231" s="64" t="e">
        <f t="shared" si="60"/>
        <v>#REF!</v>
      </c>
      <c r="K231" s="62"/>
      <c r="L231" s="62"/>
      <c r="M231" s="62"/>
      <c r="N231" s="62"/>
      <c r="O231" s="62"/>
      <c r="P231" s="62"/>
      <c r="Q231" s="62"/>
      <c r="R231" s="62"/>
      <c r="S231" s="62"/>
      <c r="T231" s="62"/>
      <c r="U231" s="62"/>
      <c r="V231" s="62"/>
      <c r="W231" s="62"/>
    </row>
    <row r="232" spans="1:23">
      <c r="A232" s="63" t="e">
        <f t="shared" si="55"/>
        <v>#REF!</v>
      </c>
      <c r="B232" s="63"/>
      <c r="C232" s="187"/>
      <c r="D232" s="64" t="e">
        <f t="shared" si="60"/>
        <v>#REF!</v>
      </c>
      <c r="E232" s="64" t="e">
        <f t="shared" si="60"/>
        <v>#REF!</v>
      </c>
      <c r="F232" s="64" t="e">
        <f t="shared" si="60"/>
        <v>#REF!</v>
      </c>
      <c r="G232" s="64" t="e">
        <f t="shared" si="60"/>
        <v>#REF!</v>
      </c>
      <c r="H232" s="64" t="e">
        <f t="shared" si="60"/>
        <v>#REF!</v>
      </c>
      <c r="I232" s="64" t="e">
        <f t="shared" si="60"/>
        <v>#REF!</v>
      </c>
      <c r="J232" s="64" t="e">
        <f t="shared" si="60"/>
        <v>#REF!</v>
      </c>
      <c r="K232" s="62"/>
      <c r="L232" s="62"/>
      <c r="M232" s="62"/>
      <c r="N232" s="62"/>
      <c r="O232" s="62"/>
      <c r="P232" s="62"/>
      <c r="Q232" s="62"/>
      <c r="R232" s="62"/>
      <c r="S232" s="62"/>
      <c r="T232" s="62"/>
      <c r="U232" s="62"/>
      <c r="V232" s="62"/>
      <c r="W232" s="62"/>
    </row>
    <row r="233" spans="1:23">
      <c r="A233" s="63" t="e">
        <f t="shared" si="55"/>
        <v>#REF!</v>
      </c>
      <c r="B233" s="63"/>
      <c r="C233" s="187"/>
      <c r="D233" s="64" t="e">
        <f t="shared" si="60"/>
        <v>#REF!</v>
      </c>
      <c r="E233" s="64" t="e">
        <f t="shared" si="60"/>
        <v>#REF!</v>
      </c>
      <c r="F233" s="64" t="e">
        <f t="shared" si="60"/>
        <v>#REF!</v>
      </c>
      <c r="G233" s="64" t="e">
        <f t="shared" si="60"/>
        <v>#REF!</v>
      </c>
      <c r="H233" s="64" t="e">
        <f t="shared" si="60"/>
        <v>#REF!</v>
      </c>
      <c r="I233" s="64" t="e">
        <f t="shared" si="60"/>
        <v>#REF!</v>
      </c>
      <c r="J233" s="64" t="e">
        <f t="shared" si="60"/>
        <v>#REF!</v>
      </c>
      <c r="K233" s="62"/>
      <c r="L233" s="62"/>
      <c r="M233" s="62"/>
      <c r="N233" s="62"/>
      <c r="O233" s="62"/>
      <c r="P233" s="62"/>
      <c r="Q233" s="62"/>
      <c r="R233" s="62"/>
      <c r="S233" s="62"/>
      <c r="T233" s="62"/>
      <c r="U233" s="62"/>
      <c r="V233" s="62"/>
      <c r="W233" s="62"/>
    </row>
    <row r="234" spans="1:23">
      <c r="A234" s="63" t="e">
        <f t="shared" si="55"/>
        <v>#REF!</v>
      </c>
      <c r="B234" s="63"/>
      <c r="C234" s="187"/>
      <c r="D234" s="64" t="e">
        <f t="shared" si="60"/>
        <v>#REF!</v>
      </c>
      <c r="E234" s="64" t="e">
        <f t="shared" si="60"/>
        <v>#REF!</v>
      </c>
      <c r="F234" s="64" t="e">
        <f t="shared" si="60"/>
        <v>#REF!</v>
      </c>
      <c r="G234" s="64" t="e">
        <f t="shared" si="60"/>
        <v>#REF!</v>
      </c>
      <c r="H234" s="64" t="e">
        <f t="shared" si="60"/>
        <v>#REF!</v>
      </c>
      <c r="I234" s="64" t="e">
        <f t="shared" si="60"/>
        <v>#REF!</v>
      </c>
      <c r="J234" s="64" t="e">
        <f t="shared" si="60"/>
        <v>#REF!</v>
      </c>
      <c r="K234" s="62"/>
      <c r="L234" s="62"/>
      <c r="M234" s="62"/>
      <c r="N234" s="62"/>
      <c r="O234" s="62"/>
      <c r="P234" s="62"/>
      <c r="Q234" s="62"/>
      <c r="R234" s="62"/>
      <c r="S234" s="62"/>
      <c r="T234" s="62"/>
      <c r="U234" s="62"/>
      <c r="V234" s="62"/>
      <c r="W234" s="62"/>
    </row>
    <row r="235" spans="1:23">
      <c r="A235" s="63" t="e">
        <f t="shared" si="55"/>
        <v>#REF!</v>
      </c>
      <c r="B235" s="63"/>
      <c r="C235" s="187"/>
      <c r="D235" s="64" t="e">
        <f t="shared" si="60"/>
        <v>#REF!</v>
      </c>
      <c r="E235" s="64" t="e">
        <f t="shared" si="60"/>
        <v>#REF!</v>
      </c>
      <c r="F235" s="64" t="e">
        <f t="shared" si="60"/>
        <v>#REF!</v>
      </c>
      <c r="G235" s="64" t="e">
        <f t="shared" si="60"/>
        <v>#REF!</v>
      </c>
      <c r="H235" s="64" t="e">
        <f t="shared" si="60"/>
        <v>#REF!</v>
      </c>
      <c r="I235" s="64" t="e">
        <f t="shared" si="60"/>
        <v>#REF!</v>
      </c>
      <c r="J235" s="64" t="e">
        <f t="shared" si="60"/>
        <v>#REF!</v>
      </c>
      <c r="K235" s="62"/>
      <c r="L235" s="62"/>
      <c r="M235" s="62"/>
      <c r="N235" s="62"/>
      <c r="O235" s="62"/>
      <c r="P235" s="62"/>
      <c r="Q235" s="62"/>
      <c r="R235" s="62"/>
      <c r="S235" s="62"/>
      <c r="T235" s="62"/>
      <c r="U235" s="62"/>
      <c r="V235" s="62"/>
      <c r="W235" s="62"/>
    </row>
    <row r="236" spans="1:23">
      <c r="A236" s="63" t="e">
        <f t="shared" si="55"/>
        <v>#REF!</v>
      </c>
      <c r="B236" s="63"/>
      <c r="C236" s="187"/>
      <c r="D236" s="64" t="e">
        <f t="shared" si="60"/>
        <v>#REF!</v>
      </c>
      <c r="E236" s="64" t="e">
        <f t="shared" si="60"/>
        <v>#REF!</v>
      </c>
      <c r="F236" s="64" t="e">
        <f t="shared" si="60"/>
        <v>#REF!</v>
      </c>
      <c r="G236" s="64" t="e">
        <f t="shared" si="60"/>
        <v>#REF!</v>
      </c>
      <c r="H236" s="64" t="e">
        <f t="shared" si="60"/>
        <v>#REF!</v>
      </c>
      <c r="I236" s="64" t="e">
        <f t="shared" si="60"/>
        <v>#REF!</v>
      </c>
      <c r="J236" s="64" t="e">
        <f t="shared" si="60"/>
        <v>#REF!</v>
      </c>
      <c r="K236" s="62"/>
      <c r="L236" s="62"/>
      <c r="M236" s="62"/>
      <c r="N236" s="62"/>
      <c r="O236" s="62"/>
      <c r="P236" s="62"/>
      <c r="Q236" s="62"/>
      <c r="R236" s="62"/>
      <c r="S236" s="62"/>
      <c r="T236" s="62"/>
      <c r="U236" s="62"/>
      <c r="V236" s="62"/>
      <c r="W236" s="62"/>
    </row>
    <row r="237" spans="1:23">
      <c r="A237" s="63" t="e">
        <f t="shared" si="55"/>
        <v>#REF!</v>
      </c>
      <c r="B237" s="63"/>
      <c r="C237" s="187"/>
      <c r="D237" s="64" t="e">
        <f t="shared" si="60"/>
        <v>#REF!</v>
      </c>
      <c r="E237" s="64" t="e">
        <f t="shared" si="60"/>
        <v>#REF!</v>
      </c>
      <c r="F237" s="64" t="e">
        <f t="shared" si="60"/>
        <v>#REF!</v>
      </c>
      <c r="G237" s="64" t="e">
        <f t="shared" si="60"/>
        <v>#REF!</v>
      </c>
      <c r="H237" s="64" t="e">
        <f t="shared" si="60"/>
        <v>#REF!</v>
      </c>
      <c r="I237" s="64" t="e">
        <f t="shared" si="60"/>
        <v>#REF!</v>
      </c>
      <c r="J237" s="64" t="e">
        <f t="shared" si="60"/>
        <v>#REF!</v>
      </c>
      <c r="K237" s="62"/>
      <c r="L237" s="62"/>
      <c r="M237" s="62"/>
      <c r="N237" s="62"/>
      <c r="O237" s="62"/>
      <c r="P237" s="62"/>
      <c r="Q237" s="62"/>
      <c r="R237" s="62"/>
      <c r="S237" s="62"/>
      <c r="T237" s="62"/>
      <c r="U237" s="62"/>
      <c r="V237" s="62"/>
      <c r="W237" s="62"/>
    </row>
    <row r="238" spans="1:23">
      <c r="A238" s="63" t="e">
        <f t="shared" si="55"/>
        <v>#REF!</v>
      </c>
      <c r="B238" s="63"/>
      <c r="C238" s="187"/>
      <c r="D238" s="64" t="e">
        <f t="shared" si="60"/>
        <v>#REF!</v>
      </c>
      <c r="E238" s="64" t="e">
        <f t="shared" si="60"/>
        <v>#REF!</v>
      </c>
      <c r="F238" s="64" t="e">
        <f t="shared" si="60"/>
        <v>#REF!</v>
      </c>
      <c r="G238" s="64" t="e">
        <f t="shared" si="60"/>
        <v>#REF!</v>
      </c>
      <c r="H238" s="64" t="e">
        <f t="shared" si="60"/>
        <v>#REF!</v>
      </c>
      <c r="I238" s="64" t="e">
        <f t="shared" si="60"/>
        <v>#REF!</v>
      </c>
      <c r="J238" s="64" t="e">
        <f t="shared" si="60"/>
        <v>#REF!</v>
      </c>
      <c r="K238" s="62"/>
      <c r="L238" s="62"/>
      <c r="M238" s="62"/>
      <c r="N238" s="62"/>
      <c r="O238" s="62"/>
      <c r="P238" s="62"/>
      <c r="Q238" s="62"/>
      <c r="R238" s="62"/>
      <c r="S238" s="62"/>
      <c r="T238" s="62"/>
      <c r="U238" s="62"/>
      <c r="V238" s="62"/>
      <c r="W238" s="62"/>
    </row>
    <row r="239" spans="1:23">
      <c r="A239" s="63" t="e">
        <f>A175</f>
        <v>#REF!</v>
      </c>
      <c r="B239" s="63"/>
      <c r="C239" s="187"/>
      <c r="D239" s="64" t="e">
        <f t="shared" ref="D239:J243" si="61">C107*$C239*D$124</f>
        <v>#REF!</v>
      </c>
      <c r="E239" s="64" t="e">
        <f t="shared" si="61"/>
        <v>#REF!</v>
      </c>
      <c r="F239" s="64" t="e">
        <f t="shared" si="61"/>
        <v>#REF!</v>
      </c>
      <c r="G239" s="64" t="e">
        <f t="shared" si="61"/>
        <v>#REF!</v>
      </c>
      <c r="H239" s="64" t="e">
        <f t="shared" si="61"/>
        <v>#REF!</v>
      </c>
      <c r="I239" s="64" t="e">
        <f t="shared" si="61"/>
        <v>#REF!</v>
      </c>
      <c r="J239" s="64" t="e">
        <f t="shared" si="61"/>
        <v>#REF!</v>
      </c>
      <c r="K239" s="62"/>
      <c r="L239" s="62"/>
      <c r="M239" s="62"/>
      <c r="N239" s="62"/>
      <c r="O239" s="62"/>
      <c r="P239" s="62"/>
      <c r="Q239" s="62"/>
      <c r="R239" s="62"/>
      <c r="S239" s="62"/>
      <c r="T239" s="62"/>
      <c r="U239" s="62"/>
      <c r="V239" s="62"/>
      <c r="W239" s="62"/>
    </row>
    <row r="240" spans="1:23">
      <c r="A240" s="63" t="e">
        <f>A176</f>
        <v>#REF!</v>
      </c>
      <c r="B240" s="63"/>
      <c r="C240" s="187"/>
      <c r="D240" s="64" t="e">
        <f t="shared" si="61"/>
        <v>#REF!</v>
      </c>
      <c r="E240" s="64" t="e">
        <f t="shared" si="61"/>
        <v>#REF!</v>
      </c>
      <c r="F240" s="64" t="e">
        <f t="shared" si="61"/>
        <v>#REF!</v>
      </c>
      <c r="G240" s="64" t="e">
        <f t="shared" si="61"/>
        <v>#REF!</v>
      </c>
      <c r="H240" s="64" t="e">
        <f t="shared" si="61"/>
        <v>#REF!</v>
      </c>
      <c r="I240" s="64" t="e">
        <f t="shared" si="61"/>
        <v>#REF!</v>
      </c>
      <c r="J240" s="64" t="e">
        <f t="shared" si="61"/>
        <v>#REF!</v>
      </c>
      <c r="K240" s="62"/>
      <c r="L240" s="62"/>
      <c r="M240" s="62"/>
      <c r="N240" s="62"/>
      <c r="O240" s="62"/>
      <c r="P240" s="62"/>
      <c r="Q240" s="62"/>
      <c r="R240" s="62"/>
      <c r="S240" s="62"/>
      <c r="T240" s="62"/>
      <c r="U240" s="62"/>
      <c r="V240" s="62"/>
      <c r="W240" s="62"/>
    </row>
    <row r="241" spans="1:23">
      <c r="A241" s="63" t="e">
        <f>A177</f>
        <v>#REF!</v>
      </c>
      <c r="B241" s="63"/>
      <c r="C241" s="187"/>
      <c r="D241" s="64" t="e">
        <f t="shared" si="61"/>
        <v>#REF!</v>
      </c>
      <c r="E241" s="64" t="e">
        <f t="shared" si="61"/>
        <v>#REF!</v>
      </c>
      <c r="F241" s="64" t="e">
        <f t="shared" si="61"/>
        <v>#REF!</v>
      </c>
      <c r="G241" s="64" t="e">
        <f t="shared" si="61"/>
        <v>#REF!</v>
      </c>
      <c r="H241" s="64" t="e">
        <f t="shared" si="61"/>
        <v>#REF!</v>
      </c>
      <c r="I241" s="64" t="e">
        <f t="shared" si="61"/>
        <v>#REF!</v>
      </c>
      <c r="J241" s="64" t="e">
        <f t="shared" si="61"/>
        <v>#REF!</v>
      </c>
      <c r="K241" s="62"/>
      <c r="L241" s="62"/>
      <c r="M241" s="62"/>
      <c r="N241" s="62"/>
      <c r="O241" s="62"/>
      <c r="P241" s="62"/>
      <c r="Q241" s="62"/>
      <c r="R241" s="62"/>
      <c r="S241" s="62"/>
      <c r="T241" s="62"/>
      <c r="U241" s="62"/>
      <c r="V241" s="62"/>
      <c r="W241" s="62"/>
    </row>
    <row r="242" spans="1:23">
      <c r="A242" s="63" t="e">
        <f>A178</f>
        <v>#REF!</v>
      </c>
      <c r="B242" s="63"/>
      <c r="C242" s="187"/>
      <c r="D242" s="64" t="e">
        <f t="shared" si="61"/>
        <v>#REF!</v>
      </c>
      <c r="E242" s="64" t="e">
        <f t="shared" si="61"/>
        <v>#REF!</v>
      </c>
      <c r="F242" s="64" t="e">
        <f t="shared" si="61"/>
        <v>#REF!</v>
      </c>
      <c r="G242" s="64" t="e">
        <f t="shared" si="61"/>
        <v>#REF!</v>
      </c>
      <c r="H242" s="64" t="e">
        <f t="shared" si="61"/>
        <v>#REF!</v>
      </c>
      <c r="I242" s="64" t="e">
        <f t="shared" si="61"/>
        <v>#REF!</v>
      </c>
      <c r="J242" s="64" t="e">
        <f t="shared" si="61"/>
        <v>#REF!</v>
      </c>
      <c r="K242" s="62"/>
      <c r="L242" s="62"/>
      <c r="M242" s="62"/>
      <c r="N242" s="62"/>
      <c r="O242" s="62"/>
      <c r="P242" s="62"/>
      <c r="Q242" s="62"/>
      <c r="R242" s="62"/>
      <c r="S242" s="62"/>
      <c r="T242" s="62"/>
      <c r="U242" s="62"/>
      <c r="V242" s="62"/>
      <c r="W242" s="62"/>
    </row>
    <row r="243" spans="1:23">
      <c r="A243" s="63">
        <f>A179</f>
        <v>0</v>
      </c>
      <c r="B243" s="63"/>
      <c r="C243" s="187"/>
      <c r="D243" s="64">
        <f t="shared" si="61"/>
        <v>0</v>
      </c>
      <c r="E243" s="64">
        <f t="shared" si="61"/>
        <v>0</v>
      </c>
      <c r="F243" s="64">
        <f t="shared" si="61"/>
        <v>0</v>
      </c>
      <c r="G243" s="64">
        <f t="shared" si="61"/>
        <v>0</v>
      </c>
      <c r="H243" s="64">
        <f t="shared" si="61"/>
        <v>0</v>
      </c>
      <c r="I243" s="64">
        <f t="shared" si="61"/>
        <v>0</v>
      </c>
      <c r="J243" s="64">
        <f t="shared" si="61"/>
        <v>0</v>
      </c>
      <c r="K243" s="62"/>
      <c r="L243" s="62"/>
      <c r="M243" s="62"/>
      <c r="N243" s="62"/>
      <c r="O243" s="62"/>
      <c r="P243" s="62"/>
      <c r="Q243" s="62"/>
      <c r="R243" s="62"/>
      <c r="S243" s="62"/>
      <c r="T243" s="62"/>
      <c r="U243" s="62"/>
      <c r="V243" s="62"/>
      <c r="W243" s="62"/>
    </row>
    <row r="244" spans="1:23">
      <c r="A244" s="63" t="str">
        <f>A181</f>
        <v>Fertilizer(Rate/KG)</v>
      </c>
      <c r="B244" s="63"/>
      <c r="C244" s="64"/>
      <c r="D244" s="64"/>
      <c r="E244" s="64"/>
      <c r="F244" s="64"/>
      <c r="G244" s="64"/>
      <c r="H244" s="64"/>
      <c r="I244" s="64"/>
      <c r="J244" s="64"/>
      <c r="K244" s="62"/>
      <c r="L244" s="62"/>
      <c r="M244" s="62"/>
      <c r="N244" s="62"/>
      <c r="O244" s="62"/>
      <c r="P244" s="62"/>
      <c r="Q244" s="62"/>
      <c r="R244" s="62"/>
      <c r="S244" s="62"/>
      <c r="T244" s="62"/>
      <c r="U244" s="62"/>
      <c r="V244" s="62"/>
      <c r="W244" s="62"/>
    </row>
    <row r="245" spans="1:23">
      <c r="A245" s="63" t="str">
        <f>A182</f>
        <v>SSP</v>
      </c>
      <c r="B245" s="63"/>
      <c r="C245" s="187">
        <v>6</v>
      </c>
      <c r="D245" s="64" t="e">
        <f t="shared" ref="D245:J245" si="62">C114*$C$245*D124</f>
        <v>#REF!</v>
      </c>
      <c r="E245" s="64" t="e">
        <f t="shared" si="62"/>
        <v>#REF!</v>
      </c>
      <c r="F245" s="64" t="e">
        <f t="shared" si="62"/>
        <v>#REF!</v>
      </c>
      <c r="G245" s="64" t="e">
        <f t="shared" si="62"/>
        <v>#REF!</v>
      </c>
      <c r="H245" s="64" t="e">
        <f t="shared" si="62"/>
        <v>#REF!</v>
      </c>
      <c r="I245" s="64" t="e">
        <f t="shared" si="62"/>
        <v>#REF!</v>
      </c>
      <c r="J245" s="64" t="e">
        <f t="shared" si="62"/>
        <v>#REF!</v>
      </c>
      <c r="K245" s="62"/>
      <c r="L245" s="62"/>
      <c r="M245" s="62"/>
      <c r="N245" s="62"/>
      <c r="O245" s="62"/>
      <c r="P245" s="62"/>
      <c r="Q245" s="62"/>
      <c r="R245" s="62"/>
      <c r="S245" s="62"/>
      <c r="T245" s="62"/>
      <c r="U245" s="62"/>
      <c r="V245" s="62"/>
      <c r="W245" s="62"/>
    </row>
    <row r="246" spans="1:23">
      <c r="A246" s="63" t="str">
        <f>A183</f>
        <v>Urea</v>
      </c>
      <c r="B246" s="63"/>
      <c r="C246" s="187">
        <v>5</v>
      </c>
      <c r="D246" s="64" t="e">
        <f t="shared" ref="D246:J246" si="63">C115*$C$246*D124</f>
        <v>#REF!</v>
      </c>
      <c r="E246" s="64" t="e">
        <f t="shared" si="63"/>
        <v>#REF!</v>
      </c>
      <c r="F246" s="64" t="e">
        <f t="shared" si="63"/>
        <v>#REF!</v>
      </c>
      <c r="G246" s="64" t="e">
        <f t="shared" si="63"/>
        <v>#REF!</v>
      </c>
      <c r="H246" s="64" t="e">
        <f t="shared" si="63"/>
        <v>#REF!</v>
      </c>
      <c r="I246" s="64" t="e">
        <f t="shared" si="63"/>
        <v>#REF!</v>
      </c>
      <c r="J246" s="64" t="e">
        <f t="shared" si="63"/>
        <v>#REF!</v>
      </c>
      <c r="K246" s="62"/>
      <c r="L246" s="62"/>
      <c r="M246" s="62"/>
      <c r="N246" s="62"/>
      <c r="O246" s="62"/>
      <c r="P246" s="62"/>
      <c r="Q246" s="62"/>
      <c r="R246" s="62"/>
      <c r="S246" s="62"/>
      <c r="T246" s="62"/>
      <c r="U246" s="62"/>
      <c r="V246" s="62"/>
      <c r="W246" s="62"/>
    </row>
    <row r="247" spans="1:23">
      <c r="A247" s="63" t="str">
        <f>A184</f>
        <v>DAP</v>
      </c>
      <c r="B247" s="63"/>
      <c r="C247" s="187">
        <v>27</v>
      </c>
      <c r="D247" s="64" t="e">
        <f t="shared" ref="D247:J247" si="64">C116*$C$247*D124</f>
        <v>#REF!</v>
      </c>
      <c r="E247" s="64" t="e">
        <f t="shared" si="64"/>
        <v>#REF!</v>
      </c>
      <c r="F247" s="64" t="e">
        <f t="shared" si="64"/>
        <v>#REF!</v>
      </c>
      <c r="G247" s="64" t="e">
        <f t="shared" si="64"/>
        <v>#REF!</v>
      </c>
      <c r="H247" s="64" t="e">
        <f t="shared" si="64"/>
        <v>#REF!</v>
      </c>
      <c r="I247" s="64" t="e">
        <f t="shared" si="64"/>
        <v>#REF!</v>
      </c>
      <c r="J247" s="64" t="e">
        <f t="shared" si="64"/>
        <v>#REF!</v>
      </c>
      <c r="K247" s="62"/>
      <c r="L247" s="62"/>
      <c r="M247" s="62"/>
      <c r="N247" s="62"/>
      <c r="O247" s="62"/>
      <c r="P247" s="62"/>
      <c r="Q247" s="62"/>
      <c r="R247" s="62"/>
      <c r="S247" s="62"/>
      <c r="T247" s="62"/>
      <c r="U247" s="62"/>
      <c r="V247" s="62"/>
      <c r="W247" s="62"/>
    </row>
    <row r="248" spans="1:23">
      <c r="A248" s="63"/>
      <c r="B248" s="63"/>
      <c r="C248" s="64"/>
      <c r="D248" s="64"/>
      <c r="E248" s="64"/>
      <c r="F248" s="64"/>
      <c r="G248" s="64"/>
      <c r="H248" s="64"/>
      <c r="I248" s="64"/>
      <c r="J248" s="64"/>
      <c r="K248" s="62"/>
      <c r="L248" s="62"/>
      <c r="M248" s="62"/>
      <c r="N248" s="62"/>
      <c r="O248" s="62"/>
      <c r="P248" s="62"/>
      <c r="Q248" s="62"/>
      <c r="R248" s="62"/>
      <c r="S248" s="62"/>
      <c r="T248" s="62"/>
      <c r="U248" s="62"/>
      <c r="V248" s="62"/>
      <c r="W248" s="62"/>
    </row>
    <row r="249" spans="1:23">
      <c r="A249" s="63" t="str">
        <f>A186</f>
        <v>Pesticide</v>
      </c>
      <c r="B249" s="63"/>
      <c r="C249" s="64"/>
      <c r="D249" s="64"/>
      <c r="E249" s="64"/>
      <c r="F249" s="64"/>
      <c r="G249" s="64"/>
      <c r="H249" s="64"/>
      <c r="I249" s="64"/>
      <c r="J249" s="64"/>
      <c r="K249" s="62"/>
      <c r="L249" s="62"/>
      <c r="M249" s="62"/>
      <c r="N249" s="62"/>
      <c r="O249" s="62"/>
      <c r="P249" s="62"/>
      <c r="Q249" s="62"/>
      <c r="R249" s="62"/>
      <c r="S249" s="62"/>
      <c r="T249" s="62"/>
      <c r="U249" s="62"/>
      <c r="V249" s="62"/>
      <c r="W249" s="62"/>
    </row>
    <row r="250" spans="1:23">
      <c r="A250" s="63" t="str">
        <f>A187</f>
        <v>Dupont Coragen</v>
      </c>
      <c r="B250" s="63"/>
      <c r="C250" s="187">
        <v>2800</v>
      </c>
      <c r="D250" s="64" t="e">
        <f t="shared" ref="D250:J250" si="65">C118*$C$250*D124</f>
        <v>#REF!</v>
      </c>
      <c r="E250" s="64" t="e">
        <f t="shared" si="65"/>
        <v>#REF!</v>
      </c>
      <c r="F250" s="64" t="e">
        <f t="shared" si="65"/>
        <v>#REF!</v>
      </c>
      <c r="G250" s="64" t="e">
        <f t="shared" si="65"/>
        <v>#REF!</v>
      </c>
      <c r="H250" s="64" t="e">
        <f t="shared" si="65"/>
        <v>#REF!</v>
      </c>
      <c r="I250" s="64" t="e">
        <f t="shared" si="65"/>
        <v>#REF!</v>
      </c>
      <c r="J250" s="64" t="e">
        <f t="shared" si="65"/>
        <v>#REF!</v>
      </c>
      <c r="K250" s="62"/>
      <c r="L250" s="62"/>
      <c r="M250" s="62"/>
      <c r="N250" s="62"/>
      <c r="O250" s="62"/>
      <c r="P250" s="62"/>
      <c r="Q250" s="62"/>
      <c r="R250" s="62"/>
      <c r="S250" s="62"/>
      <c r="T250" s="62"/>
      <c r="U250" s="62"/>
      <c r="V250" s="62"/>
      <c r="W250" s="62"/>
    </row>
    <row r="251" spans="1:23">
      <c r="A251" s="63" t="str">
        <f>A188</f>
        <v>Confidor Boyer</v>
      </c>
      <c r="B251" s="63"/>
      <c r="C251" s="187">
        <v>2000</v>
      </c>
      <c r="D251" s="64" t="e">
        <f t="shared" ref="D251:J251" si="66">C119*$C$251*D124</f>
        <v>#REF!</v>
      </c>
      <c r="E251" s="64" t="e">
        <f t="shared" si="66"/>
        <v>#REF!</v>
      </c>
      <c r="F251" s="64" t="e">
        <f t="shared" si="66"/>
        <v>#REF!</v>
      </c>
      <c r="G251" s="64" t="e">
        <f t="shared" si="66"/>
        <v>#REF!</v>
      </c>
      <c r="H251" s="64" t="e">
        <f t="shared" si="66"/>
        <v>#REF!</v>
      </c>
      <c r="I251" s="64" t="e">
        <f t="shared" si="66"/>
        <v>#REF!</v>
      </c>
      <c r="J251" s="64" t="e">
        <f t="shared" si="66"/>
        <v>#REF!</v>
      </c>
      <c r="K251" s="62"/>
      <c r="L251" s="62"/>
      <c r="M251" s="62"/>
      <c r="N251" s="62"/>
      <c r="O251" s="62"/>
      <c r="P251" s="62"/>
      <c r="Q251" s="62"/>
      <c r="R251" s="62"/>
      <c r="S251" s="62"/>
      <c r="T251" s="62"/>
      <c r="U251" s="62"/>
      <c r="V251" s="62"/>
      <c r="W251" s="62"/>
    </row>
    <row r="252" spans="1:23">
      <c r="A252" s="63"/>
      <c r="B252" s="63"/>
      <c r="C252" s="64"/>
      <c r="D252" s="64"/>
      <c r="E252" s="64"/>
      <c r="F252" s="64"/>
      <c r="G252" s="64"/>
      <c r="H252" s="64"/>
      <c r="I252" s="64"/>
      <c r="J252" s="64"/>
      <c r="K252" s="62"/>
      <c r="L252" s="62"/>
      <c r="M252" s="62"/>
      <c r="N252" s="62"/>
      <c r="O252" s="62"/>
      <c r="P252" s="62"/>
      <c r="Q252" s="62"/>
      <c r="R252" s="62"/>
      <c r="S252" s="62"/>
      <c r="T252" s="62"/>
      <c r="U252" s="62"/>
      <c r="V252" s="62"/>
      <c r="W252" s="62"/>
    </row>
    <row r="253" spans="1:23">
      <c r="A253" s="63" t="s">
        <v>282</v>
      </c>
      <c r="B253" s="63"/>
      <c r="C253" s="187">
        <v>10</v>
      </c>
      <c r="D253" s="64" t="e">
        <f t="shared" ref="D253:J253" si="67">(SUM(C63:C119)/50)*$C$253*D124</f>
        <v>#REF!</v>
      </c>
      <c r="E253" s="64" t="e">
        <f t="shared" si="67"/>
        <v>#REF!</v>
      </c>
      <c r="F253" s="64" t="e">
        <f t="shared" si="67"/>
        <v>#REF!</v>
      </c>
      <c r="G253" s="64" t="e">
        <f t="shared" si="67"/>
        <v>#REF!</v>
      </c>
      <c r="H253" s="64" t="e">
        <f t="shared" si="67"/>
        <v>#REF!</v>
      </c>
      <c r="I253" s="64" t="e">
        <f t="shared" si="67"/>
        <v>#REF!</v>
      </c>
      <c r="J253" s="64" t="e">
        <f t="shared" si="67"/>
        <v>#REF!</v>
      </c>
      <c r="K253" s="62"/>
      <c r="L253" s="62"/>
      <c r="M253" s="62"/>
      <c r="N253" s="62"/>
      <c r="O253" s="62"/>
      <c r="P253" s="62"/>
      <c r="Q253" s="62"/>
      <c r="R253" s="62"/>
      <c r="S253" s="62"/>
      <c r="T253" s="62"/>
      <c r="U253" s="62"/>
      <c r="V253" s="62"/>
      <c r="W253" s="62"/>
    </row>
    <row r="254" spans="1:23">
      <c r="A254" s="63" t="s">
        <v>167</v>
      </c>
      <c r="B254" s="63"/>
      <c r="C254" s="187">
        <v>100</v>
      </c>
      <c r="D254" s="64" t="e">
        <f t="shared" ref="D254:J254" si="68">(SUM(C63:C119)/50)*$C$254*D124</f>
        <v>#REF!</v>
      </c>
      <c r="E254" s="64" t="e">
        <f t="shared" si="68"/>
        <v>#REF!</v>
      </c>
      <c r="F254" s="64" t="e">
        <f t="shared" si="68"/>
        <v>#REF!</v>
      </c>
      <c r="G254" s="64" t="e">
        <f t="shared" si="68"/>
        <v>#REF!</v>
      </c>
      <c r="H254" s="64" t="e">
        <f t="shared" si="68"/>
        <v>#REF!</v>
      </c>
      <c r="I254" s="64" t="e">
        <f t="shared" si="68"/>
        <v>#REF!</v>
      </c>
      <c r="J254" s="64" t="e">
        <f t="shared" si="68"/>
        <v>#REF!</v>
      </c>
      <c r="K254" s="62"/>
      <c r="L254" s="62"/>
      <c r="M254" s="62"/>
      <c r="N254" s="62"/>
      <c r="O254" s="62"/>
      <c r="P254" s="62"/>
      <c r="Q254" s="62"/>
      <c r="R254" s="62"/>
      <c r="S254" s="62"/>
      <c r="T254" s="62"/>
      <c r="U254" s="62"/>
      <c r="V254" s="62"/>
      <c r="W254" s="62"/>
    </row>
    <row r="255" spans="1:23">
      <c r="A255" s="63"/>
      <c r="B255" s="63"/>
      <c r="C255" s="187"/>
      <c r="D255" s="142"/>
      <c r="E255" s="64"/>
      <c r="F255" s="64"/>
      <c r="G255" s="64"/>
      <c r="H255" s="64"/>
      <c r="I255" s="64"/>
      <c r="J255" s="64"/>
      <c r="K255" s="62"/>
      <c r="L255" s="62"/>
      <c r="M255" s="62"/>
      <c r="N255" s="62"/>
      <c r="O255" s="62"/>
      <c r="P255" s="62"/>
      <c r="Q255" s="62"/>
      <c r="R255" s="62"/>
      <c r="S255" s="62"/>
      <c r="T255" s="62"/>
      <c r="U255" s="62"/>
      <c r="V255" s="62"/>
      <c r="W255" s="62"/>
    </row>
    <row r="256" spans="1:23">
      <c r="A256" s="63"/>
      <c r="B256" s="63"/>
      <c r="C256" s="187"/>
      <c r="D256" s="142"/>
      <c r="E256" s="64"/>
      <c r="F256" s="64"/>
      <c r="G256" s="64"/>
      <c r="H256" s="64"/>
      <c r="I256" s="64"/>
      <c r="J256" s="64"/>
      <c r="K256" s="62"/>
      <c r="L256" s="62"/>
      <c r="M256" s="62"/>
      <c r="N256" s="62"/>
      <c r="O256" s="62"/>
      <c r="P256" s="62"/>
      <c r="Q256" s="62"/>
      <c r="R256" s="62"/>
      <c r="S256" s="62"/>
      <c r="T256" s="62"/>
      <c r="U256" s="62"/>
      <c r="V256" s="62"/>
      <c r="W256" s="62"/>
    </row>
    <row r="257" spans="1:23">
      <c r="A257" s="63"/>
      <c r="B257" s="63"/>
      <c r="C257" s="187"/>
      <c r="D257" s="142"/>
      <c r="E257" s="64"/>
      <c r="F257" s="64"/>
      <c r="G257" s="64"/>
      <c r="H257" s="64"/>
      <c r="I257" s="64"/>
      <c r="J257" s="64"/>
      <c r="K257" s="62"/>
      <c r="L257" s="62"/>
      <c r="M257" s="62"/>
      <c r="N257" s="62"/>
      <c r="O257" s="62"/>
      <c r="P257" s="62"/>
      <c r="Q257" s="62"/>
      <c r="R257" s="62"/>
      <c r="S257" s="62"/>
      <c r="T257" s="62"/>
      <c r="U257" s="62"/>
      <c r="V257" s="62"/>
      <c r="W257" s="62"/>
    </row>
    <row r="258" spans="1:23">
      <c r="A258" s="63"/>
      <c r="B258" s="63"/>
      <c r="C258" s="187"/>
      <c r="D258" s="142"/>
      <c r="E258" s="64"/>
      <c r="F258" s="64"/>
      <c r="G258" s="64"/>
      <c r="H258" s="64"/>
      <c r="I258" s="64"/>
      <c r="J258" s="64"/>
      <c r="K258" s="62"/>
      <c r="L258" s="62"/>
      <c r="M258" s="62"/>
      <c r="N258" s="62"/>
      <c r="O258" s="62"/>
      <c r="P258" s="62"/>
      <c r="Q258" s="62"/>
      <c r="R258" s="62"/>
      <c r="S258" s="62"/>
      <c r="T258" s="62"/>
      <c r="U258" s="62"/>
      <c r="V258" s="62"/>
      <c r="W258" s="62"/>
    </row>
    <row r="259" spans="1:23">
      <c r="A259" s="63" t="s">
        <v>330</v>
      </c>
      <c r="B259" s="63"/>
      <c r="C259" s="64"/>
      <c r="D259" s="142"/>
      <c r="E259" s="64">
        <f>'5.Closing Stock &amp; W Capital'!F6</f>
        <v>0</v>
      </c>
      <c r="F259" s="64">
        <f>'5.Closing Stock &amp; W Capital'!G6</f>
        <v>0</v>
      </c>
      <c r="G259" s="64">
        <f>'5.Closing Stock &amp; W Capital'!H6</f>
        <v>0</v>
      </c>
      <c r="H259" s="64">
        <f>'5.Closing Stock &amp; W Capital'!I6</f>
        <v>0</v>
      </c>
      <c r="I259" s="64">
        <f>'5.Closing Stock &amp; W Capital'!J6</f>
        <v>0</v>
      </c>
      <c r="J259" s="64">
        <f>'5.Closing Stock &amp; W Capital'!K6</f>
        <v>0</v>
      </c>
      <c r="K259" s="62"/>
      <c r="L259" s="62"/>
      <c r="M259" s="62"/>
      <c r="N259" s="62"/>
      <c r="O259" s="62"/>
      <c r="P259" s="62"/>
      <c r="Q259" s="62"/>
      <c r="R259" s="62"/>
      <c r="S259" s="62"/>
      <c r="T259" s="62"/>
      <c r="U259" s="62"/>
      <c r="V259" s="62"/>
      <c r="W259" s="62"/>
    </row>
    <row r="260" spans="1:23">
      <c r="A260" s="63" t="s">
        <v>331</v>
      </c>
      <c r="B260" s="63"/>
      <c r="C260" s="63"/>
      <c r="D260" s="142">
        <f>'5.Closing Stock &amp; W Capital'!E15</f>
        <v>0</v>
      </c>
      <c r="E260" s="64">
        <f>'5.Closing Stock &amp; W Capital'!F15</f>
        <v>0</v>
      </c>
      <c r="F260" s="64">
        <f>'5.Closing Stock &amp; W Capital'!G15</f>
        <v>0</v>
      </c>
      <c r="G260" s="64">
        <f>'5.Closing Stock &amp; W Capital'!H15</f>
        <v>0</v>
      </c>
      <c r="H260" s="64">
        <f>'5.Closing Stock &amp; W Capital'!I15</f>
        <v>0</v>
      </c>
      <c r="I260" s="64">
        <f>'5.Closing Stock &amp; W Capital'!J15</f>
        <v>0</v>
      </c>
      <c r="J260" s="64">
        <f>'5.Closing Stock &amp; W Capital'!K15</f>
        <v>0</v>
      </c>
      <c r="K260" s="62"/>
      <c r="L260" s="62"/>
      <c r="M260" s="62"/>
      <c r="N260" s="62"/>
      <c r="O260" s="62"/>
      <c r="P260" s="62"/>
      <c r="Q260" s="62"/>
      <c r="R260" s="62"/>
      <c r="S260" s="62"/>
      <c r="T260" s="62"/>
      <c r="U260" s="62"/>
      <c r="V260" s="62"/>
      <c r="W260" s="62"/>
    </row>
    <row r="261" spans="1:23">
      <c r="A261" s="63"/>
      <c r="B261" s="63"/>
      <c r="C261" s="63"/>
      <c r="D261" s="62"/>
      <c r="E261" s="62"/>
      <c r="F261" s="62"/>
      <c r="G261" s="62"/>
      <c r="H261" s="62"/>
      <c r="I261" s="62"/>
      <c r="J261" s="62"/>
      <c r="K261" s="62"/>
      <c r="L261" s="62"/>
      <c r="M261" s="62"/>
      <c r="N261" s="62"/>
      <c r="O261" s="62"/>
      <c r="P261" s="62"/>
      <c r="Q261" s="62"/>
      <c r="R261" s="62"/>
      <c r="S261" s="62"/>
      <c r="T261" s="62"/>
      <c r="U261" s="62"/>
      <c r="V261" s="62"/>
      <c r="W261" s="62"/>
    </row>
    <row r="262" spans="1:23">
      <c r="A262" s="65" t="s">
        <v>309</v>
      </c>
      <c r="B262" s="65"/>
      <c r="C262" s="79"/>
      <c r="D262" s="79" t="e">
        <f>SUM(D197:D258)+D259-D260</f>
        <v>#REF!</v>
      </c>
      <c r="E262" s="79" t="e">
        <f t="shared" ref="E262:J262" si="69">SUM(E197:E258)+E259-E260</f>
        <v>#REF!</v>
      </c>
      <c r="F262" s="79" t="e">
        <f t="shared" si="69"/>
        <v>#REF!</v>
      </c>
      <c r="G262" s="79" t="e">
        <f t="shared" si="69"/>
        <v>#REF!</v>
      </c>
      <c r="H262" s="79" t="e">
        <f t="shared" si="69"/>
        <v>#REF!</v>
      </c>
      <c r="I262" s="79" t="e">
        <f t="shared" si="69"/>
        <v>#REF!</v>
      </c>
      <c r="J262" s="79" t="e">
        <f t="shared" si="69"/>
        <v>#REF!</v>
      </c>
      <c r="K262" s="62"/>
      <c r="L262" s="62"/>
      <c r="M262" s="62"/>
      <c r="N262" s="62"/>
      <c r="O262" s="62"/>
      <c r="P262" s="62"/>
      <c r="Q262" s="62"/>
      <c r="R262" s="62"/>
      <c r="S262" s="62"/>
      <c r="T262" s="62"/>
      <c r="U262" s="62"/>
      <c r="V262" s="62"/>
      <c r="W262" s="62"/>
    </row>
    <row r="263" spans="1:23">
      <c r="A263" s="63"/>
      <c r="B263" s="63"/>
      <c r="C263" s="64"/>
      <c r="D263" s="64"/>
      <c r="E263" s="64"/>
      <c r="F263" s="64"/>
      <c r="G263" s="64"/>
      <c r="H263" s="64"/>
      <c r="I263" s="64"/>
      <c r="J263" s="64"/>
      <c r="K263" s="62"/>
      <c r="L263" s="62"/>
      <c r="M263" s="62"/>
      <c r="N263" s="62"/>
      <c r="O263" s="62"/>
      <c r="P263" s="62"/>
      <c r="Q263" s="62"/>
      <c r="R263" s="62"/>
      <c r="S263" s="62"/>
      <c r="T263" s="62"/>
      <c r="U263" s="62"/>
      <c r="V263" s="62"/>
      <c r="W263" s="62"/>
    </row>
    <row r="264" spans="1:23">
      <c r="A264" s="65" t="s">
        <v>300</v>
      </c>
      <c r="B264" s="65"/>
      <c r="C264" s="64"/>
      <c r="D264" s="64"/>
      <c r="E264" s="64"/>
      <c r="F264" s="64"/>
      <c r="G264" s="64"/>
      <c r="H264" s="64"/>
      <c r="I264" s="64"/>
      <c r="J264" s="64"/>
      <c r="K264" s="62"/>
      <c r="L264" s="62"/>
      <c r="M264" s="62"/>
      <c r="N264" s="62"/>
      <c r="O264" s="62"/>
      <c r="P264" s="62"/>
      <c r="Q264" s="62"/>
      <c r="R264" s="62"/>
      <c r="S264" s="62"/>
      <c r="T264" s="62"/>
      <c r="U264" s="62"/>
      <c r="V264" s="62"/>
      <c r="W264" s="62"/>
    </row>
    <row r="265" spans="1:23">
      <c r="A265" s="63" t="s">
        <v>314</v>
      </c>
      <c r="B265" s="63">
        <v>12</v>
      </c>
      <c r="C265" s="187"/>
      <c r="D265" s="64">
        <f t="shared" ref="D265:J265" si="70">$B$265*$C$265*D124</f>
        <v>0</v>
      </c>
      <c r="E265" s="64">
        <f t="shared" si="70"/>
        <v>0</v>
      </c>
      <c r="F265" s="64">
        <f t="shared" si="70"/>
        <v>0</v>
      </c>
      <c r="G265" s="64">
        <f t="shared" si="70"/>
        <v>0</v>
      </c>
      <c r="H265" s="64">
        <f t="shared" si="70"/>
        <v>0</v>
      </c>
      <c r="I265" s="64">
        <f t="shared" si="70"/>
        <v>0</v>
      </c>
      <c r="J265" s="64">
        <f t="shared" si="70"/>
        <v>0</v>
      </c>
      <c r="K265" s="62"/>
      <c r="L265" s="62"/>
      <c r="M265" s="62"/>
      <c r="N265" s="62"/>
      <c r="O265" s="62"/>
      <c r="P265" s="62"/>
      <c r="Q265" s="62"/>
      <c r="R265" s="62"/>
      <c r="S265" s="62"/>
      <c r="T265" s="62"/>
      <c r="U265" s="62"/>
      <c r="V265" s="62"/>
      <c r="W265" s="62"/>
    </row>
    <row r="266" spans="1:23">
      <c r="A266" s="63" t="s">
        <v>315</v>
      </c>
      <c r="B266" s="164">
        <v>1</v>
      </c>
      <c r="C266" s="187"/>
      <c r="D266" s="64">
        <f t="shared" ref="D266:J266" si="71">$B$266*$C$266*12*D124</f>
        <v>0</v>
      </c>
      <c r="E266" s="64">
        <f t="shared" si="71"/>
        <v>0</v>
      </c>
      <c r="F266" s="64">
        <f t="shared" si="71"/>
        <v>0</v>
      </c>
      <c r="G266" s="64">
        <f t="shared" si="71"/>
        <v>0</v>
      </c>
      <c r="H266" s="64">
        <f t="shared" si="71"/>
        <v>0</v>
      </c>
      <c r="I266" s="64">
        <f t="shared" si="71"/>
        <v>0</v>
      </c>
      <c r="J266" s="64">
        <f t="shared" si="71"/>
        <v>0</v>
      </c>
      <c r="K266" s="62"/>
      <c r="L266" s="62"/>
      <c r="M266" s="62"/>
      <c r="N266" s="62"/>
      <c r="O266" s="62"/>
      <c r="P266" s="62"/>
      <c r="Q266" s="62"/>
      <c r="R266" s="62"/>
      <c r="S266" s="62"/>
      <c r="T266" s="62"/>
      <c r="U266" s="62"/>
      <c r="V266" s="62"/>
      <c r="W266" s="62"/>
    </row>
    <row r="267" spans="1:23">
      <c r="A267" s="63" t="s">
        <v>185</v>
      </c>
      <c r="B267" s="164">
        <v>1</v>
      </c>
      <c r="C267" s="187"/>
      <c r="D267" s="64">
        <f t="shared" ref="D267:J267" si="72">$B$267*$C$267*12*D124</f>
        <v>0</v>
      </c>
      <c r="E267" s="64">
        <f t="shared" si="72"/>
        <v>0</v>
      </c>
      <c r="F267" s="64">
        <f t="shared" si="72"/>
        <v>0</v>
      </c>
      <c r="G267" s="64">
        <f t="shared" si="72"/>
        <v>0</v>
      </c>
      <c r="H267" s="64">
        <f t="shared" si="72"/>
        <v>0</v>
      </c>
      <c r="I267" s="64">
        <f t="shared" si="72"/>
        <v>0</v>
      </c>
      <c r="J267" s="64">
        <f t="shared" si="72"/>
        <v>0</v>
      </c>
      <c r="K267" s="62"/>
      <c r="L267" s="62"/>
      <c r="M267" s="62"/>
      <c r="N267" s="62"/>
      <c r="O267" s="62"/>
      <c r="P267" s="62"/>
      <c r="Q267" s="62"/>
      <c r="R267" s="62"/>
      <c r="S267" s="62"/>
      <c r="T267" s="62"/>
      <c r="U267" s="62"/>
      <c r="V267" s="62"/>
      <c r="W267" s="62"/>
    </row>
    <row r="268" spans="1:23">
      <c r="A268" s="63" t="s">
        <v>316</v>
      </c>
      <c r="B268" s="63">
        <v>12</v>
      </c>
      <c r="C268" s="187"/>
      <c r="D268" s="64">
        <f t="shared" ref="D268:J268" si="73">$B$268*$C$268*D124</f>
        <v>0</v>
      </c>
      <c r="E268" s="64">
        <f t="shared" si="73"/>
        <v>0</v>
      </c>
      <c r="F268" s="64">
        <f t="shared" si="73"/>
        <v>0</v>
      </c>
      <c r="G268" s="64">
        <f t="shared" si="73"/>
        <v>0</v>
      </c>
      <c r="H268" s="64">
        <f t="shared" si="73"/>
        <v>0</v>
      </c>
      <c r="I268" s="64">
        <f t="shared" si="73"/>
        <v>0</v>
      </c>
      <c r="J268" s="64">
        <f t="shared" si="73"/>
        <v>0</v>
      </c>
      <c r="K268" s="62"/>
      <c r="L268" s="62"/>
      <c r="M268" s="62"/>
      <c r="N268" s="62"/>
      <c r="O268" s="62"/>
      <c r="P268" s="62"/>
      <c r="Q268" s="62"/>
      <c r="R268" s="62"/>
      <c r="S268" s="62"/>
      <c r="T268" s="62"/>
      <c r="U268" s="62"/>
      <c r="V268" s="62"/>
      <c r="W268" s="62"/>
    </row>
    <row r="269" spans="1:23">
      <c r="A269" s="63"/>
      <c r="B269" s="63"/>
      <c r="C269" s="187"/>
      <c r="D269" s="64"/>
      <c r="E269" s="64"/>
      <c r="F269" s="64"/>
      <c r="G269" s="64"/>
      <c r="H269" s="64"/>
      <c r="I269" s="64"/>
      <c r="J269" s="64"/>
      <c r="K269" s="62"/>
      <c r="L269" s="62"/>
      <c r="M269" s="62"/>
      <c r="N269" s="62"/>
      <c r="O269" s="62"/>
      <c r="P269" s="62"/>
      <c r="Q269" s="62"/>
      <c r="R269" s="62"/>
      <c r="S269" s="62"/>
      <c r="T269" s="62"/>
      <c r="U269" s="62"/>
      <c r="V269" s="62"/>
      <c r="W269" s="62"/>
    </row>
    <row r="270" spans="1:23">
      <c r="A270" s="63"/>
      <c r="B270" s="63"/>
      <c r="C270" s="187"/>
      <c r="D270" s="64"/>
      <c r="E270" s="64"/>
      <c r="F270" s="64"/>
      <c r="G270" s="64"/>
      <c r="H270" s="64"/>
      <c r="I270" s="64"/>
      <c r="J270" s="64"/>
      <c r="K270" s="62"/>
      <c r="L270" s="62"/>
      <c r="M270" s="62"/>
      <c r="N270" s="62"/>
      <c r="O270" s="62"/>
      <c r="P270" s="62"/>
      <c r="Q270" s="62"/>
      <c r="R270" s="62"/>
      <c r="S270" s="62"/>
      <c r="T270" s="62"/>
      <c r="U270" s="62"/>
      <c r="V270" s="62"/>
      <c r="W270" s="62"/>
    </row>
    <row r="271" spans="1:23">
      <c r="A271" s="63"/>
      <c r="B271" s="63"/>
      <c r="C271" s="187"/>
      <c r="D271" s="64"/>
      <c r="E271" s="64"/>
      <c r="F271" s="64"/>
      <c r="G271" s="64"/>
      <c r="H271" s="64"/>
      <c r="I271" s="64"/>
      <c r="J271" s="64"/>
      <c r="K271" s="62"/>
      <c r="L271" s="62"/>
      <c r="M271" s="62"/>
      <c r="N271" s="62"/>
      <c r="O271" s="62"/>
      <c r="P271" s="62"/>
      <c r="Q271" s="62"/>
      <c r="R271" s="62"/>
      <c r="S271" s="62"/>
      <c r="T271" s="62"/>
      <c r="U271" s="62"/>
      <c r="V271" s="62"/>
      <c r="W271" s="62"/>
    </row>
    <row r="272" spans="1:23">
      <c r="A272" s="63"/>
      <c r="B272" s="63"/>
      <c r="C272" s="187"/>
      <c r="D272" s="64"/>
      <c r="E272" s="64"/>
      <c r="F272" s="64"/>
      <c r="G272" s="64"/>
      <c r="H272" s="64"/>
      <c r="I272" s="64"/>
      <c r="J272" s="64"/>
      <c r="K272" s="62"/>
      <c r="L272" s="62"/>
      <c r="M272" s="62"/>
      <c r="N272" s="62"/>
      <c r="O272" s="62"/>
      <c r="P272" s="62"/>
      <c r="Q272" s="62"/>
      <c r="R272" s="62"/>
      <c r="S272" s="62"/>
      <c r="T272" s="62"/>
      <c r="U272" s="62"/>
      <c r="V272" s="62"/>
      <c r="W272" s="62"/>
    </row>
    <row r="273" spans="1:23">
      <c r="A273" s="65" t="s">
        <v>313</v>
      </c>
      <c r="B273" s="65"/>
      <c r="C273" s="79"/>
      <c r="D273" s="79">
        <f>SUM(D265:D272)</f>
        <v>0</v>
      </c>
      <c r="E273" s="79">
        <f t="shared" ref="E273:J273" si="74">SUM(E265:E272)</f>
        <v>0</v>
      </c>
      <c r="F273" s="79">
        <f t="shared" si="74"/>
        <v>0</v>
      </c>
      <c r="G273" s="79">
        <f t="shared" si="74"/>
        <v>0</v>
      </c>
      <c r="H273" s="79">
        <f t="shared" si="74"/>
        <v>0</v>
      </c>
      <c r="I273" s="79">
        <f t="shared" si="74"/>
        <v>0</v>
      </c>
      <c r="J273" s="79">
        <f t="shared" si="74"/>
        <v>0</v>
      </c>
      <c r="K273" s="62"/>
      <c r="L273" s="62"/>
      <c r="M273" s="62"/>
      <c r="N273" s="62"/>
      <c r="O273" s="62"/>
      <c r="P273" s="62"/>
      <c r="Q273" s="62"/>
      <c r="R273" s="62"/>
      <c r="S273" s="62"/>
      <c r="T273" s="62"/>
      <c r="U273" s="62"/>
      <c r="V273" s="62"/>
      <c r="W273" s="62"/>
    </row>
    <row r="274" spans="1:23">
      <c r="A274" s="135" t="s">
        <v>131</v>
      </c>
      <c r="B274" s="135"/>
      <c r="C274" s="143"/>
      <c r="D274" s="79" t="e">
        <f t="shared" ref="D274:J274" si="75">D262+D273</f>
        <v>#REF!</v>
      </c>
      <c r="E274" s="79" t="e">
        <f t="shared" si="75"/>
        <v>#REF!</v>
      </c>
      <c r="F274" s="79" t="e">
        <f t="shared" si="75"/>
        <v>#REF!</v>
      </c>
      <c r="G274" s="79" t="e">
        <f t="shared" si="75"/>
        <v>#REF!</v>
      </c>
      <c r="H274" s="79" t="e">
        <f t="shared" si="75"/>
        <v>#REF!</v>
      </c>
      <c r="I274" s="79" t="e">
        <f t="shared" si="75"/>
        <v>#REF!</v>
      </c>
      <c r="J274" s="79" t="e">
        <f t="shared" si="75"/>
        <v>#REF!</v>
      </c>
      <c r="K274" s="62"/>
      <c r="L274" s="62"/>
      <c r="M274" s="62"/>
      <c r="N274" s="62"/>
      <c r="O274" s="62"/>
      <c r="P274" s="62"/>
      <c r="Q274" s="62"/>
      <c r="R274" s="62"/>
      <c r="S274" s="62"/>
      <c r="T274" s="62"/>
      <c r="U274" s="62"/>
      <c r="V274" s="62"/>
      <c r="W274" s="62"/>
    </row>
    <row r="275" spans="1:23">
      <c r="A275" s="63"/>
      <c r="B275" s="63"/>
      <c r="C275" s="64"/>
      <c r="D275" s="64"/>
      <c r="E275" s="64"/>
      <c r="F275" s="64"/>
      <c r="G275" s="64"/>
      <c r="H275" s="64"/>
      <c r="I275" s="64"/>
      <c r="J275" s="64"/>
      <c r="K275" s="62"/>
      <c r="L275" s="62"/>
      <c r="M275" s="62"/>
      <c r="N275" s="62"/>
      <c r="O275" s="62"/>
      <c r="P275" s="62"/>
      <c r="Q275" s="62"/>
      <c r="R275" s="62"/>
      <c r="S275" s="62"/>
      <c r="T275" s="62"/>
      <c r="U275" s="62"/>
      <c r="V275" s="62"/>
      <c r="W275" s="62"/>
    </row>
    <row r="276" spans="1:23">
      <c r="A276" s="135" t="s">
        <v>7</v>
      </c>
      <c r="B276" s="135"/>
      <c r="C276" s="143"/>
      <c r="D276" s="79" t="e">
        <f t="shared" ref="D276:J276" si="76">D191-D274</f>
        <v>#REF!</v>
      </c>
      <c r="E276" s="79" t="e">
        <f t="shared" si="76"/>
        <v>#REF!</v>
      </c>
      <c r="F276" s="79" t="e">
        <f t="shared" si="76"/>
        <v>#REF!</v>
      </c>
      <c r="G276" s="79" t="e">
        <f t="shared" si="76"/>
        <v>#REF!</v>
      </c>
      <c r="H276" s="79" t="e">
        <f t="shared" si="76"/>
        <v>#REF!</v>
      </c>
      <c r="I276" s="79" t="e">
        <f t="shared" si="76"/>
        <v>#REF!</v>
      </c>
      <c r="J276" s="79" t="e">
        <f t="shared" si="76"/>
        <v>#REF!</v>
      </c>
      <c r="K276" s="62"/>
      <c r="L276" s="62"/>
      <c r="M276" s="62"/>
      <c r="N276" s="62"/>
      <c r="O276" s="62"/>
      <c r="P276" s="62"/>
      <c r="Q276" s="62"/>
      <c r="R276" s="62"/>
      <c r="S276" s="62"/>
      <c r="T276" s="62"/>
      <c r="U276" s="62"/>
      <c r="V276" s="62"/>
      <c r="W276" s="62"/>
    </row>
    <row r="277" spans="1:23">
      <c r="A277" s="80"/>
      <c r="B277" s="80"/>
      <c r="C277" s="80"/>
      <c r="D277" s="62"/>
      <c r="E277" s="62"/>
      <c r="F277" s="62"/>
      <c r="G277" s="62"/>
      <c r="H277" s="62"/>
      <c r="I277" s="62"/>
      <c r="J277" s="62"/>
      <c r="K277" s="62"/>
      <c r="L277" s="62"/>
      <c r="M277" s="62"/>
      <c r="N277" s="62"/>
      <c r="O277" s="62"/>
      <c r="P277" s="62"/>
      <c r="Q277" s="62"/>
      <c r="R277" s="62"/>
      <c r="S277" s="62"/>
      <c r="T277" s="62"/>
      <c r="U277" s="62"/>
      <c r="V277" s="62"/>
      <c r="W277" s="62"/>
    </row>
    <row r="278" spans="1:23">
      <c r="A278" s="62"/>
      <c r="B278" s="62"/>
      <c r="C278" s="62"/>
      <c r="D278" s="62"/>
      <c r="E278" s="62"/>
      <c r="F278" s="62"/>
      <c r="G278" s="62"/>
      <c r="H278" s="62"/>
      <c r="I278" s="62"/>
      <c r="J278" s="62"/>
      <c r="K278" s="62"/>
      <c r="L278" s="62"/>
      <c r="M278" s="62"/>
      <c r="N278" s="62"/>
      <c r="O278" s="62"/>
      <c r="P278" s="62"/>
      <c r="Q278" s="62"/>
      <c r="R278" s="62"/>
      <c r="S278" s="62"/>
      <c r="T278" s="62"/>
      <c r="U278" s="62"/>
      <c r="V278" s="62"/>
      <c r="W278" s="62"/>
    </row>
    <row r="279" spans="1:23">
      <c r="A279" s="604" t="s">
        <v>404</v>
      </c>
      <c r="B279" s="604"/>
      <c r="C279" s="604"/>
      <c r="D279" s="604"/>
      <c r="E279" s="604"/>
      <c r="F279" s="604"/>
      <c r="G279" s="604"/>
      <c r="H279" s="604"/>
      <c r="I279" s="604"/>
      <c r="J279" s="604"/>
    </row>
    <row r="281" spans="1:23">
      <c r="A281" t="s">
        <v>500</v>
      </c>
    </row>
    <row r="282" spans="1:23">
      <c r="A282">
        <v>1</v>
      </c>
      <c r="B282" t="s">
        <v>510</v>
      </c>
    </row>
    <row r="283" spans="1:23">
      <c r="A283">
        <v>2</v>
      </c>
      <c r="B283" t="s">
        <v>511</v>
      </c>
    </row>
    <row r="284" spans="1:23">
      <c r="A284">
        <v>3</v>
      </c>
      <c r="B284" s="62" t="s">
        <v>560</v>
      </c>
    </row>
  </sheetData>
  <mergeCells count="3">
    <mergeCell ref="A122:J122"/>
    <mergeCell ref="A2:I2"/>
    <mergeCell ref="A279:J279"/>
  </mergeCells>
  <pageMargins left="0.7" right="0.7" top="0.75" bottom="0.75" header="0.3" footer="0.3"/>
  <pageSetup scale="52" orientation="portrait" r:id="rId1"/>
  <rowBreaks count="3" manualBreakCount="3">
    <brk id="73" max="9" man="1"/>
    <brk id="145" max="9" man="1"/>
    <brk id="228"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X377"/>
  <sheetViews>
    <sheetView view="pageBreakPreview" topLeftCell="A8" zoomScale="85" zoomScaleSheetLayoutView="85" workbookViewId="0">
      <selection activeCell="B22" activeCellId="1" sqref="B32 B22"/>
    </sheetView>
  </sheetViews>
  <sheetFormatPr defaultRowHeight="15"/>
  <cols>
    <col min="1" max="1" width="35.85546875" style="213" customWidth="1"/>
    <col min="2" max="2" width="21" customWidth="1"/>
    <col min="3" max="3" width="11.5703125" customWidth="1"/>
    <col min="4" max="4" width="13.42578125" style="310" customWidth="1"/>
    <col min="5" max="6" width="11.7109375" style="310" customWidth="1"/>
    <col min="7" max="7" width="15" style="310" bestFit="1" customWidth="1"/>
    <col min="8" max="10" width="11.7109375" style="310" customWidth="1"/>
    <col min="11" max="11" width="11.7109375" customWidth="1"/>
    <col min="12" max="12" width="9.28515625" customWidth="1"/>
    <col min="14" max="16" width="9.5703125" bestFit="1" customWidth="1"/>
    <col min="18" max="24" width="9.28515625" bestFit="1" customWidth="1"/>
  </cols>
  <sheetData>
    <row r="3" spans="1:12" ht="18.75">
      <c r="A3" s="602" t="s">
        <v>950</v>
      </c>
      <c r="B3" s="602"/>
      <c r="C3" s="602"/>
      <c r="D3" s="602"/>
      <c r="E3" s="602"/>
      <c r="F3" s="602"/>
      <c r="G3" s="602"/>
      <c r="H3" s="602"/>
    </row>
    <row r="4" spans="1:12" ht="18.75">
      <c r="A4" s="602" t="s">
        <v>546</v>
      </c>
      <c r="B4" s="602"/>
      <c r="C4" s="602"/>
      <c r="D4" s="602"/>
      <c r="E4" s="602"/>
      <c r="F4" s="602"/>
      <c r="G4" s="602"/>
      <c r="H4" s="602"/>
    </row>
    <row r="5" spans="1:12" ht="18.75">
      <c r="A5" s="550"/>
      <c r="B5" s="469"/>
      <c r="C5" s="469"/>
      <c r="D5" s="469"/>
      <c r="E5" s="469"/>
      <c r="F5" s="469"/>
      <c r="G5" s="469"/>
      <c r="H5" s="469"/>
    </row>
    <row r="6" spans="1:12" ht="18.75">
      <c r="A6" s="550"/>
      <c r="B6" s="469"/>
      <c r="C6" s="469"/>
      <c r="D6" s="469"/>
      <c r="E6" s="469"/>
      <c r="F6" s="469"/>
      <c r="G6" s="469"/>
      <c r="H6" s="469"/>
    </row>
    <row r="7" spans="1:12">
      <c r="A7" s="123" t="s">
        <v>156</v>
      </c>
      <c r="B7" s="62">
        <v>2</v>
      </c>
      <c r="C7" s="62" t="s">
        <v>289</v>
      </c>
      <c r="D7" s="75"/>
      <c r="E7" s="75"/>
      <c r="F7" s="75"/>
      <c r="G7" s="75"/>
      <c r="H7" s="75"/>
    </row>
    <row r="8" spans="1:12">
      <c r="A8" s="123" t="s">
        <v>157</v>
      </c>
      <c r="B8" s="62">
        <v>8</v>
      </c>
      <c r="C8" s="62"/>
      <c r="D8" s="75"/>
      <c r="E8" s="75"/>
      <c r="F8" s="75"/>
      <c r="G8" s="75"/>
      <c r="H8" s="75"/>
    </row>
    <row r="9" spans="1:12">
      <c r="A9" s="123"/>
      <c r="B9" s="62"/>
      <c r="C9" s="62"/>
      <c r="D9" s="75"/>
      <c r="E9" s="75"/>
      <c r="F9" s="75"/>
      <c r="G9" s="75"/>
      <c r="H9" s="75"/>
    </row>
    <row r="10" spans="1:12">
      <c r="A10" s="123"/>
      <c r="B10" s="62"/>
      <c r="C10" s="62"/>
      <c r="D10" s="75"/>
      <c r="E10" s="75"/>
      <c r="F10" s="75"/>
      <c r="G10" s="75"/>
      <c r="H10" s="75"/>
    </row>
    <row r="11" spans="1:12">
      <c r="A11" s="123"/>
      <c r="B11" s="62"/>
      <c r="C11" s="62"/>
      <c r="D11" s="75"/>
      <c r="E11" s="75"/>
      <c r="F11" s="75"/>
      <c r="G11" s="75"/>
      <c r="H11" s="75"/>
    </row>
    <row r="12" spans="1:12">
      <c r="A12" s="39" t="s">
        <v>0</v>
      </c>
      <c r="B12" s="103" t="s">
        <v>2</v>
      </c>
      <c r="C12" s="103" t="s">
        <v>3</v>
      </c>
      <c r="D12" s="103" t="s">
        <v>4</v>
      </c>
      <c r="E12" s="103" t="s">
        <v>5</v>
      </c>
      <c r="F12" s="103" t="s">
        <v>6</v>
      </c>
      <c r="G12" s="103" t="s">
        <v>164</v>
      </c>
      <c r="H12" s="103" t="s">
        <v>163</v>
      </c>
      <c r="I12" s="358"/>
    </row>
    <row r="13" spans="1:12">
      <c r="A13" s="551" t="s">
        <v>933</v>
      </c>
      <c r="B13" s="279"/>
      <c r="C13" s="279"/>
      <c r="D13" s="359"/>
      <c r="E13" s="359"/>
      <c r="F13" s="359"/>
      <c r="G13" s="359"/>
      <c r="H13" s="359"/>
      <c r="I13" s="358"/>
    </row>
    <row r="14" spans="1:12">
      <c r="A14" s="676" t="s">
        <v>980</v>
      </c>
      <c r="B14" s="677"/>
      <c r="C14" s="677"/>
      <c r="D14" s="677"/>
      <c r="E14" s="677"/>
      <c r="F14" s="677"/>
      <c r="G14" s="677"/>
      <c r="H14" s="677"/>
      <c r="I14" s="358"/>
    </row>
    <row r="15" spans="1:12">
      <c r="A15" s="506" t="s">
        <v>661</v>
      </c>
      <c r="B15" s="280">
        <f t="shared" ref="B15:H15" si="0">+$B$7*$B$8*300</f>
        <v>4800</v>
      </c>
      <c r="C15" s="280">
        <f t="shared" si="0"/>
        <v>4800</v>
      </c>
      <c r="D15" s="280">
        <f t="shared" si="0"/>
        <v>4800</v>
      </c>
      <c r="E15" s="280">
        <f t="shared" si="0"/>
        <v>4800</v>
      </c>
      <c r="F15" s="280">
        <f t="shared" si="0"/>
        <v>4800</v>
      </c>
      <c r="G15" s="280">
        <f t="shared" si="0"/>
        <v>4800</v>
      </c>
      <c r="H15" s="280">
        <f t="shared" si="0"/>
        <v>4800</v>
      </c>
      <c r="I15" s="358"/>
    </row>
    <row r="16" spans="1:12" s="531" customFormat="1">
      <c r="A16" s="552" t="s">
        <v>969</v>
      </c>
      <c r="B16" s="529">
        <f>B15*0.6</f>
        <v>2880</v>
      </c>
      <c r="C16" s="529">
        <f t="shared" ref="C16:H17" si="1">+B16</f>
        <v>2880</v>
      </c>
      <c r="D16" s="529">
        <f t="shared" si="1"/>
        <v>2880</v>
      </c>
      <c r="E16" s="529">
        <f t="shared" si="1"/>
        <v>2880</v>
      </c>
      <c r="F16" s="529">
        <f t="shared" si="1"/>
        <v>2880</v>
      </c>
      <c r="G16" s="529">
        <f t="shared" si="1"/>
        <v>2880</v>
      </c>
      <c r="H16" s="529">
        <f t="shared" si="1"/>
        <v>2880</v>
      </c>
      <c r="I16" s="530"/>
      <c r="L16" s="3"/>
    </row>
    <row r="17" spans="1:24" s="531" customFormat="1">
      <c r="A17" s="552" t="s">
        <v>970</v>
      </c>
      <c r="B17" s="529">
        <f>+B15-B16</f>
        <v>1920</v>
      </c>
      <c r="C17" s="529">
        <f t="shared" si="1"/>
        <v>1920</v>
      </c>
      <c r="D17" s="529">
        <f t="shared" si="1"/>
        <v>1920</v>
      </c>
      <c r="E17" s="529">
        <f t="shared" si="1"/>
        <v>1920</v>
      </c>
      <c r="F17" s="529">
        <f t="shared" si="1"/>
        <v>1920</v>
      </c>
      <c r="G17" s="529">
        <f t="shared" si="1"/>
        <v>1920</v>
      </c>
      <c r="H17" s="529">
        <f t="shared" si="1"/>
        <v>1920</v>
      </c>
      <c r="I17" s="530"/>
    </row>
    <row r="18" spans="1:24">
      <c r="A18" s="506" t="s">
        <v>650</v>
      </c>
      <c r="B18" s="577">
        <v>0.7</v>
      </c>
      <c r="C18" s="577">
        <v>0.7</v>
      </c>
      <c r="D18" s="577">
        <v>0.7</v>
      </c>
      <c r="E18" s="577">
        <v>0.7</v>
      </c>
      <c r="F18" s="577">
        <v>0.7</v>
      </c>
      <c r="G18" s="577">
        <f>+F18+5%</f>
        <v>0.75</v>
      </c>
      <c r="H18" s="577">
        <f>+G18+5%</f>
        <v>0.8</v>
      </c>
      <c r="I18" s="358"/>
    </row>
    <row r="19" spans="1:24" ht="30">
      <c r="A19" s="506" t="s">
        <v>651</v>
      </c>
      <c r="B19" s="577">
        <v>0.7</v>
      </c>
      <c r="C19" s="577">
        <v>0.7</v>
      </c>
      <c r="D19" s="577">
        <v>0.7</v>
      </c>
      <c r="E19" s="577">
        <v>0.7</v>
      </c>
      <c r="F19" s="577">
        <v>0.7</v>
      </c>
      <c r="G19" s="577">
        <f>+F19+5%</f>
        <v>0.75</v>
      </c>
      <c r="H19" s="577">
        <f>+G19+5%</f>
        <v>0.8</v>
      </c>
      <c r="I19" s="358"/>
    </row>
    <row r="20" spans="1:24">
      <c r="A20" s="336"/>
      <c r="B20" s="272"/>
      <c r="C20" s="272"/>
      <c r="D20" s="294"/>
      <c r="E20" s="294"/>
      <c r="F20" s="294"/>
      <c r="G20" s="294"/>
      <c r="H20" s="294"/>
      <c r="I20" s="358"/>
    </row>
    <row r="21" spans="1:24">
      <c r="A21" s="548" t="s">
        <v>652</v>
      </c>
      <c r="B21" s="272"/>
      <c r="C21" s="272"/>
      <c r="D21" s="294"/>
      <c r="E21" s="294"/>
      <c r="F21" s="294"/>
      <c r="G21" s="294"/>
      <c r="H21" s="294"/>
      <c r="I21" s="358"/>
    </row>
    <row r="22" spans="1:24">
      <c r="A22" s="336" t="s">
        <v>923</v>
      </c>
      <c r="B22" s="272">
        <f t="shared" ref="B22:H22" si="2">B16*B18</f>
        <v>2015.9999999999998</v>
      </c>
      <c r="C22" s="272">
        <f t="shared" si="2"/>
        <v>2015.9999999999998</v>
      </c>
      <c r="D22" s="294">
        <f t="shared" si="2"/>
        <v>2015.9999999999998</v>
      </c>
      <c r="E22" s="294">
        <f t="shared" si="2"/>
        <v>2015.9999999999998</v>
      </c>
      <c r="F22" s="294">
        <f t="shared" si="2"/>
        <v>2015.9999999999998</v>
      </c>
      <c r="G22" s="294">
        <f t="shared" si="2"/>
        <v>2160</v>
      </c>
      <c r="H22" s="294">
        <f t="shared" si="2"/>
        <v>2304</v>
      </c>
      <c r="I22" s="358">
        <f>+B22*50%</f>
        <v>1007.9999999999999</v>
      </c>
      <c r="J22" s="358">
        <f t="shared" ref="J22:N22" si="3">+C22*50%</f>
        <v>1007.9999999999999</v>
      </c>
      <c r="K22" s="358">
        <f t="shared" si="3"/>
        <v>1007.9999999999999</v>
      </c>
      <c r="L22" s="358">
        <f t="shared" si="3"/>
        <v>1007.9999999999999</v>
      </c>
      <c r="M22" s="358">
        <f t="shared" si="3"/>
        <v>1007.9999999999999</v>
      </c>
      <c r="N22" s="358">
        <f t="shared" si="3"/>
        <v>1080</v>
      </c>
    </row>
    <row r="23" spans="1:24">
      <c r="A23" s="281" t="s">
        <v>662</v>
      </c>
      <c r="B23" s="575">
        <f>+'Input Sheet'!C104</f>
        <v>800</v>
      </c>
      <c r="C23" s="575">
        <f>+'Input Sheet'!D104</f>
        <v>840</v>
      </c>
      <c r="D23" s="575">
        <f>+'Input Sheet'!E104</f>
        <v>880</v>
      </c>
      <c r="E23" s="575">
        <f>+'Input Sheet'!F104</f>
        <v>920</v>
      </c>
      <c r="F23" s="575">
        <f>+'Input Sheet'!G104</f>
        <v>970</v>
      </c>
      <c r="G23" s="575">
        <f>+'Input Sheet'!H104</f>
        <v>1020</v>
      </c>
      <c r="H23" s="575">
        <f>+'Input Sheet'!I104</f>
        <v>1070</v>
      </c>
      <c r="I23" s="358">
        <f>+I22+B40</f>
        <v>1680</v>
      </c>
      <c r="J23" s="358">
        <f t="shared" ref="J23:N23" si="4">+J22+C40</f>
        <v>1680</v>
      </c>
      <c r="K23" s="358">
        <f t="shared" si="4"/>
        <v>1680</v>
      </c>
      <c r="L23" s="358">
        <f t="shared" si="4"/>
        <v>1680</v>
      </c>
      <c r="M23" s="358">
        <f t="shared" si="4"/>
        <v>1680</v>
      </c>
      <c r="N23" s="358">
        <f t="shared" si="4"/>
        <v>1800</v>
      </c>
    </row>
    <row r="24" spans="1:24">
      <c r="A24" s="506" t="s">
        <v>653</v>
      </c>
      <c r="B24" s="283">
        <f t="shared" ref="B24:H24" si="5">B22*B23/100000</f>
        <v>16.127999999999997</v>
      </c>
      <c r="C24" s="283">
        <f t="shared" si="5"/>
        <v>16.934399999999997</v>
      </c>
      <c r="D24" s="283">
        <f t="shared" si="5"/>
        <v>17.740799999999997</v>
      </c>
      <c r="E24" s="283">
        <f t="shared" si="5"/>
        <v>18.547199999999997</v>
      </c>
      <c r="F24" s="283">
        <f t="shared" si="5"/>
        <v>19.555199999999999</v>
      </c>
      <c r="G24" s="283">
        <f t="shared" si="5"/>
        <v>22.032</v>
      </c>
      <c r="H24" s="283">
        <f t="shared" si="5"/>
        <v>24.652799999999999</v>
      </c>
      <c r="I24" s="358"/>
    </row>
    <row r="25" spans="1:24">
      <c r="A25" s="506"/>
      <c r="B25" s="283"/>
      <c r="C25" s="283"/>
      <c r="D25" s="283"/>
      <c r="E25" s="283"/>
      <c r="F25" s="283"/>
      <c r="G25" s="283"/>
      <c r="H25" s="283"/>
      <c r="I25" s="358"/>
    </row>
    <row r="26" spans="1:24" hidden="1">
      <c r="A26" s="506" t="s">
        <v>885</v>
      </c>
      <c r="B26" s="283"/>
      <c r="C26" s="283"/>
      <c r="D26" s="283"/>
      <c r="E26" s="283"/>
      <c r="F26" s="283"/>
      <c r="G26" s="283"/>
      <c r="H26" s="283"/>
      <c r="I26" s="358"/>
    </row>
    <row r="27" spans="1:24" hidden="1">
      <c r="A27" s="281" t="s">
        <v>886</v>
      </c>
      <c r="B27" s="283"/>
      <c r="C27" s="283"/>
      <c r="D27" s="283"/>
      <c r="E27" s="283"/>
      <c r="F27" s="283"/>
      <c r="G27" s="283"/>
      <c r="H27" s="283"/>
      <c r="I27" s="358"/>
    </row>
    <row r="28" spans="1:24" hidden="1">
      <c r="A28" s="281" t="s">
        <v>887</v>
      </c>
      <c r="B28" s="283"/>
      <c r="C28" s="283"/>
      <c r="D28" s="283"/>
      <c r="E28" s="283"/>
      <c r="F28" s="283"/>
      <c r="G28" s="283"/>
      <c r="H28" s="283"/>
      <c r="I28" s="358"/>
    </row>
    <row r="29" spans="1:24" hidden="1">
      <c r="A29" s="281" t="s">
        <v>888</v>
      </c>
      <c r="B29" s="283"/>
      <c r="C29" s="283"/>
      <c r="D29" s="283"/>
      <c r="E29" s="283"/>
      <c r="F29" s="283"/>
      <c r="G29" s="283"/>
      <c r="H29" s="283"/>
      <c r="I29" s="358"/>
    </row>
    <row r="30" spans="1:24">
      <c r="A30" s="506"/>
      <c r="B30" s="283"/>
      <c r="C30" s="283"/>
      <c r="D30" s="283"/>
      <c r="E30" s="283"/>
      <c r="F30" s="283"/>
      <c r="G30" s="283"/>
      <c r="H30" s="283"/>
      <c r="I30" s="358"/>
    </row>
    <row r="31" spans="1:24">
      <c r="A31" s="506" t="s">
        <v>948</v>
      </c>
      <c r="B31" s="283"/>
      <c r="C31" s="283"/>
      <c r="D31" s="283"/>
      <c r="E31" s="283"/>
      <c r="F31" s="283"/>
      <c r="G31" s="283"/>
      <c r="H31" s="283"/>
      <c r="I31" s="358"/>
    </row>
    <row r="32" spans="1:24">
      <c r="A32" s="336" t="str">
        <f>+'Input Sheet'!B6</f>
        <v>Total Input (Paddy) (MT)</v>
      </c>
      <c r="B32" s="272">
        <f t="shared" ref="B32:H36" si="6">+ROUND(B$17*B$19*$I32,0)</f>
        <v>1344</v>
      </c>
      <c r="C32" s="272">
        <f t="shared" si="6"/>
        <v>1344</v>
      </c>
      <c r="D32" s="294">
        <f t="shared" si="6"/>
        <v>1344</v>
      </c>
      <c r="E32" s="294">
        <f t="shared" si="6"/>
        <v>1344</v>
      </c>
      <c r="F32" s="294">
        <f t="shared" si="6"/>
        <v>1344</v>
      </c>
      <c r="G32" s="294">
        <f t="shared" si="6"/>
        <v>1440</v>
      </c>
      <c r="H32" s="294">
        <f t="shared" si="6"/>
        <v>1536</v>
      </c>
      <c r="I32" s="484">
        <f>+'Input Sheet'!C6</f>
        <v>1</v>
      </c>
      <c r="J32" s="310">
        <f>+$I$32*B22</f>
        <v>2015.9999999999998</v>
      </c>
      <c r="K32" s="310">
        <f t="shared" ref="K32:P32" si="7">+$I$32*C22</f>
        <v>2015.9999999999998</v>
      </c>
      <c r="L32" s="310">
        <f t="shared" si="7"/>
        <v>2015.9999999999998</v>
      </c>
      <c r="M32" s="310">
        <f t="shared" si="7"/>
        <v>2015.9999999999998</v>
      </c>
      <c r="N32" s="310">
        <f t="shared" si="7"/>
        <v>2015.9999999999998</v>
      </c>
      <c r="O32" s="310">
        <f t="shared" si="7"/>
        <v>2160</v>
      </c>
      <c r="P32" s="310">
        <f t="shared" si="7"/>
        <v>2304</v>
      </c>
      <c r="R32" s="20">
        <f>+B32+J32</f>
        <v>3360</v>
      </c>
      <c r="S32" s="20">
        <f t="shared" ref="S32:X32" si="8">+C32+K32</f>
        <v>3360</v>
      </c>
      <c r="T32" s="20">
        <f t="shared" si="8"/>
        <v>3360</v>
      </c>
      <c r="U32" s="20">
        <f t="shared" si="8"/>
        <v>3360</v>
      </c>
      <c r="V32" s="20">
        <f t="shared" si="8"/>
        <v>3360</v>
      </c>
      <c r="W32" s="20">
        <f t="shared" si="8"/>
        <v>3600</v>
      </c>
      <c r="X32" s="20">
        <f t="shared" si="8"/>
        <v>3840</v>
      </c>
    </row>
    <row r="33" spans="1:15" hidden="1">
      <c r="A33" s="336" t="str">
        <f>+'Input Sheet'!B7</f>
        <v>Total Input (Moong) (MT)</v>
      </c>
      <c r="B33" s="272">
        <f t="shared" si="6"/>
        <v>0</v>
      </c>
      <c r="C33" s="272">
        <f t="shared" si="6"/>
        <v>0</v>
      </c>
      <c r="D33" s="294">
        <f t="shared" si="6"/>
        <v>0</v>
      </c>
      <c r="E33" s="294">
        <f t="shared" si="6"/>
        <v>0</v>
      </c>
      <c r="F33" s="294">
        <f t="shared" si="6"/>
        <v>0</v>
      </c>
      <c r="G33" s="294">
        <f t="shared" si="6"/>
        <v>0</v>
      </c>
      <c r="H33" s="294">
        <f t="shared" si="6"/>
        <v>0</v>
      </c>
      <c r="I33" s="484">
        <f>+'Input Sheet'!C7</f>
        <v>0</v>
      </c>
    </row>
    <row r="34" spans="1:15" hidden="1">
      <c r="A34" s="336" t="str">
        <f>+'Input Sheet'!B8</f>
        <v>Total Input -Udad (MT)</v>
      </c>
      <c r="B34" s="272">
        <f t="shared" si="6"/>
        <v>0</v>
      </c>
      <c r="C34" s="272">
        <f t="shared" si="6"/>
        <v>0</v>
      </c>
      <c r="D34" s="294">
        <f t="shared" si="6"/>
        <v>0</v>
      </c>
      <c r="E34" s="294">
        <f t="shared" si="6"/>
        <v>0</v>
      </c>
      <c r="F34" s="294">
        <f t="shared" si="6"/>
        <v>0</v>
      </c>
      <c r="G34" s="294">
        <f t="shared" si="6"/>
        <v>0</v>
      </c>
      <c r="H34" s="294">
        <f t="shared" si="6"/>
        <v>0</v>
      </c>
      <c r="I34" s="484">
        <f>+'Input Sheet'!C8</f>
        <v>0</v>
      </c>
    </row>
    <row r="35" spans="1:15" hidden="1">
      <c r="A35" s="336" t="str">
        <f>+'Input Sheet'!B9</f>
        <v>Total Input -Tur (MT)</v>
      </c>
      <c r="B35" s="272">
        <f t="shared" si="6"/>
        <v>0</v>
      </c>
      <c r="C35" s="272">
        <f t="shared" si="6"/>
        <v>0</v>
      </c>
      <c r="D35" s="294">
        <f t="shared" si="6"/>
        <v>0</v>
      </c>
      <c r="E35" s="294">
        <f t="shared" si="6"/>
        <v>0</v>
      </c>
      <c r="F35" s="294">
        <f t="shared" si="6"/>
        <v>0</v>
      </c>
      <c r="G35" s="294">
        <f t="shared" si="6"/>
        <v>0</v>
      </c>
      <c r="H35" s="294">
        <f t="shared" si="6"/>
        <v>0</v>
      </c>
      <c r="I35" s="484">
        <f>+'Input Sheet'!C9</f>
        <v>0</v>
      </c>
    </row>
    <row r="36" spans="1:15" hidden="1">
      <c r="A36" s="336" t="str">
        <f>+'Input Sheet'!B10</f>
        <v>Total Input -Chilli (MT)</v>
      </c>
      <c r="B36" s="272">
        <f t="shared" si="6"/>
        <v>0</v>
      </c>
      <c r="C36" s="272">
        <f t="shared" si="6"/>
        <v>0</v>
      </c>
      <c r="D36" s="294">
        <f t="shared" si="6"/>
        <v>0</v>
      </c>
      <c r="E36" s="294">
        <f t="shared" si="6"/>
        <v>0</v>
      </c>
      <c r="F36" s="294">
        <f t="shared" si="6"/>
        <v>0</v>
      </c>
      <c r="G36" s="294">
        <f t="shared" si="6"/>
        <v>0</v>
      </c>
      <c r="H36" s="294">
        <f t="shared" si="6"/>
        <v>0</v>
      </c>
      <c r="I36" s="484">
        <f>+'Input Sheet'!C10</f>
        <v>0</v>
      </c>
    </row>
    <row r="37" spans="1:15">
      <c r="A37" s="336" t="s">
        <v>854</v>
      </c>
      <c r="B37" s="285">
        <f t="shared" ref="B37:H37" si="9">SUM(B32:B36)</f>
        <v>1344</v>
      </c>
      <c r="C37" s="285">
        <f t="shared" si="9"/>
        <v>1344</v>
      </c>
      <c r="D37" s="285">
        <f t="shared" si="9"/>
        <v>1344</v>
      </c>
      <c r="E37" s="285">
        <f t="shared" si="9"/>
        <v>1344</v>
      </c>
      <c r="F37" s="285">
        <f t="shared" si="9"/>
        <v>1344</v>
      </c>
      <c r="G37" s="285">
        <f t="shared" si="9"/>
        <v>1440</v>
      </c>
      <c r="H37" s="285">
        <f t="shared" si="9"/>
        <v>1536</v>
      </c>
      <c r="I37" s="358"/>
    </row>
    <row r="38" spans="1:15">
      <c r="A38" s="281"/>
      <c r="B38" s="285"/>
      <c r="C38" s="285"/>
      <c r="D38" s="332"/>
      <c r="E38" s="332"/>
      <c r="F38" s="332"/>
      <c r="G38" s="332"/>
      <c r="H38" s="332"/>
      <c r="I38" s="358"/>
    </row>
    <row r="39" spans="1:15" ht="30">
      <c r="A39" s="548" t="str">
        <f>+'Input Sheet'!B28</f>
        <v>Captive Operations Grade Output (Paddy)(MT)</v>
      </c>
      <c r="B39" s="272"/>
      <c r="C39" s="272"/>
      <c r="D39" s="294"/>
      <c r="E39" s="294"/>
      <c r="F39" s="294"/>
      <c r="G39" s="294"/>
      <c r="H39" s="294"/>
      <c r="I39" s="358"/>
    </row>
    <row r="40" spans="1:15">
      <c r="A40" s="548" t="str">
        <f>+'Input Sheet'!B29</f>
        <v xml:space="preserve">Rice </v>
      </c>
      <c r="B40" s="285">
        <f t="shared" ref="B40:H43" si="10">+ROUND(B$32*$I40,0)</f>
        <v>672</v>
      </c>
      <c r="C40" s="285">
        <f t="shared" si="10"/>
        <v>672</v>
      </c>
      <c r="D40" s="332">
        <f t="shared" si="10"/>
        <v>672</v>
      </c>
      <c r="E40" s="332">
        <f t="shared" si="10"/>
        <v>672</v>
      </c>
      <c r="F40" s="332">
        <f t="shared" si="10"/>
        <v>672</v>
      </c>
      <c r="G40" s="332">
        <f t="shared" si="10"/>
        <v>720</v>
      </c>
      <c r="H40" s="332">
        <f t="shared" si="10"/>
        <v>768</v>
      </c>
      <c r="I40" s="485">
        <f>+'Input Sheet'!C29</f>
        <v>0.5</v>
      </c>
      <c r="J40" s="310">
        <f>B22*$I$40</f>
        <v>1007.9999999999999</v>
      </c>
      <c r="K40" s="310">
        <f t="shared" ref="K40:O40" si="11">C22*$I$40</f>
        <v>1007.9999999999999</v>
      </c>
      <c r="L40" s="310">
        <f t="shared" si="11"/>
        <v>1007.9999999999999</v>
      </c>
      <c r="M40" s="310">
        <f t="shared" si="11"/>
        <v>1007.9999999999999</v>
      </c>
      <c r="N40" s="310">
        <f t="shared" si="11"/>
        <v>1007.9999999999999</v>
      </c>
      <c r="O40" s="310">
        <f t="shared" si="11"/>
        <v>1080</v>
      </c>
    </row>
    <row r="41" spans="1:15">
      <c r="A41" s="548" t="str">
        <f>+'Input Sheet'!B30</f>
        <v xml:space="preserve">Husk </v>
      </c>
      <c r="B41" s="285">
        <f t="shared" si="10"/>
        <v>269</v>
      </c>
      <c r="C41" s="285">
        <f t="shared" si="10"/>
        <v>269</v>
      </c>
      <c r="D41" s="332">
        <f t="shared" si="10"/>
        <v>269</v>
      </c>
      <c r="E41" s="332">
        <f t="shared" si="10"/>
        <v>269</v>
      </c>
      <c r="F41" s="332">
        <f t="shared" si="10"/>
        <v>269</v>
      </c>
      <c r="G41" s="332">
        <f t="shared" si="10"/>
        <v>288</v>
      </c>
      <c r="H41" s="332">
        <f t="shared" si="10"/>
        <v>307</v>
      </c>
      <c r="I41" s="485">
        <f>+'Input Sheet'!C30</f>
        <v>0.2</v>
      </c>
    </row>
    <row r="42" spans="1:15">
      <c r="A42" s="548" t="str">
        <f>+'Input Sheet'!B31</f>
        <v>Boken</v>
      </c>
      <c r="B42" s="285">
        <f>+ROUND(B$32*$I42,0)</f>
        <v>269</v>
      </c>
      <c r="C42" s="285">
        <f t="shared" si="10"/>
        <v>269</v>
      </c>
      <c r="D42" s="332">
        <f t="shared" si="10"/>
        <v>269</v>
      </c>
      <c r="E42" s="332">
        <f t="shared" si="10"/>
        <v>269</v>
      </c>
      <c r="F42" s="332">
        <f t="shared" si="10"/>
        <v>269</v>
      </c>
      <c r="G42" s="332">
        <f t="shared" si="10"/>
        <v>288</v>
      </c>
      <c r="H42" s="332">
        <f t="shared" si="10"/>
        <v>307</v>
      </c>
      <c r="I42" s="485">
        <f>+'Input Sheet'!C31</f>
        <v>0.2</v>
      </c>
    </row>
    <row r="43" spans="1:15">
      <c r="A43" s="548" t="str">
        <f>+'Input Sheet'!B32</f>
        <v>Bran</v>
      </c>
      <c r="B43" s="272">
        <f>+ROUND(B$32*$I43,0)</f>
        <v>108</v>
      </c>
      <c r="C43" s="272">
        <f t="shared" si="10"/>
        <v>108</v>
      </c>
      <c r="D43" s="272">
        <f t="shared" si="10"/>
        <v>108</v>
      </c>
      <c r="E43" s="272">
        <f t="shared" si="10"/>
        <v>108</v>
      </c>
      <c r="F43" s="272">
        <f t="shared" si="10"/>
        <v>108</v>
      </c>
      <c r="G43" s="272">
        <f t="shared" si="10"/>
        <v>115</v>
      </c>
      <c r="H43" s="272">
        <f t="shared" si="10"/>
        <v>123</v>
      </c>
      <c r="I43" s="485">
        <f>+'Input Sheet'!C32</f>
        <v>0.08</v>
      </c>
    </row>
    <row r="44" spans="1:15" ht="30" hidden="1">
      <c r="A44" s="553" t="str">
        <f>+'Input Sheet'!B35</f>
        <v>Captive Operations Grade Output (Moong)(MT)</v>
      </c>
      <c r="B44" s="272"/>
      <c r="C44" s="272"/>
      <c r="D44" s="294"/>
      <c r="E44" s="294"/>
      <c r="F44" s="294"/>
      <c r="G44" s="294"/>
      <c r="H44" s="294"/>
      <c r="I44" s="358"/>
    </row>
    <row r="45" spans="1:15" hidden="1">
      <c r="A45" s="553" t="str">
        <f>+'Input Sheet'!B36</f>
        <v>Grade I</v>
      </c>
      <c r="B45" s="285">
        <f t="shared" ref="B45:H47" si="12">+ROUND(B$33*$I45,0)</f>
        <v>0</v>
      </c>
      <c r="C45" s="285">
        <f t="shared" si="12"/>
        <v>0</v>
      </c>
      <c r="D45" s="332">
        <f t="shared" si="12"/>
        <v>0</v>
      </c>
      <c r="E45" s="332">
        <f t="shared" si="12"/>
        <v>0</v>
      </c>
      <c r="F45" s="332">
        <f t="shared" si="12"/>
        <v>0</v>
      </c>
      <c r="G45" s="332">
        <f t="shared" si="12"/>
        <v>0</v>
      </c>
      <c r="H45" s="332">
        <f t="shared" si="12"/>
        <v>0</v>
      </c>
      <c r="I45" s="485">
        <f>+'Input Sheet'!C36</f>
        <v>0.5</v>
      </c>
    </row>
    <row r="46" spans="1:15" hidden="1">
      <c r="A46" s="553" t="str">
        <f>+'Input Sheet'!B37</f>
        <v>Grade II</v>
      </c>
      <c r="B46" s="285">
        <f t="shared" si="12"/>
        <v>0</v>
      </c>
      <c r="C46" s="285">
        <f t="shared" si="12"/>
        <v>0</v>
      </c>
      <c r="D46" s="332">
        <f t="shared" si="12"/>
        <v>0</v>
      </c>
      <c r="E46" s="332">
        <f t="shared" si="12"/>
        <v>0</v>
      </c>
      <c r="F46" s="332">
        <f t="shared" si="12"/>
        <v>0</v>
      </c>
      <c r="G46" s="332">
        <f t="shared" si="12"/>
        <v>0</v>
      </c>
      <c r="H46" s="332">
        <f t="shared" si="12"/>
        <v>0</v>
      </c>
      <c r="I46" s="485">
        <f>+'Input Sheet'!C37</f>
        <v>0.45</v>
      </c>
    </row>
    <row r="47" spans="1:15" hidden="1">
      <c r="A47" s="553" t="str">
        <f>+'Input Sheet'!B38</f>
        <v>Waste</v>
      </c>
      <c r="B47" s="285">
        <f t="shared" si="12"/>
        <v>0</v>
      </c>
      <c r="C47" s="285">
        <f t="shared" si="12"/>
        <v>0</v>
      </c>
      <c r="D47" s="332">
        <f t="shared" si="12"/>
        <v>0</v>
      </c>
      <c r="E47" s="332">
        <f t="shared" si="12"/>
        <v>0</v>
      </c>
      <c r="F47" s="332">
        <f t="shared" si="12"/>
        <v>0</v>
      </c>
      <c r="G47" s="332">
        <f t="shared" si="12"/>
        <v>0</v>
      </c>
      <c r="H47" s="332">
        <f t="shared" si="12"/>
        <v>0</v>
      </c>
      <c r="I47" s="485">
        <f>+'Input Sheet'!C38</f>
        <v>0.05</v>
      </c>
    </row>
    <row r="48" spans="1:15" hidden="1">
      <c r="A48" s="336"/>
      <c r="B48" s="272"/>
      <c r="C48" s="272"/>
      <c r="D48" s="294"/>
      <c r="E48" s="294"/>
      <c r="F48" s="294"/>
      <c r="G48" s="294"/>
      <c r="H48" s="294"/>
      <c r="I48" s="358"/>
    </row>
    <row r="49" spans="1:9" ht="30" hidden="1">
      <c r="A49" s="554" t="str">
        <f>+'Input Sheet'!B42</f>
        <v>Captive Operations Grade Output (Udad)(MT)</v>
      </c>
      <c r="B49" s="272"/>
      <c r="C49" s="272"/>
      <c r="D49" s="294"/>
      <c r="E49" s="294"/>
      <c r="F49" s="294"/>
      <c r="G49" s="294"/>
      <c r="H49" s="294"/>
      <c r="I49" s="358"/>
    </row>
    <row r="50" spans="1:9" hidden="1">
      <c r="A50" s="555" t="str">
        <f>+'Input Sheet'!B43</f>
        <v>Grade I</v>
      </c>
      <c r="B50" s="285">
        <f t="shared" ref="B50:H50" si="13">+ROUND(B$34*$I50,0)</f>
        <v>0</v>
      </c>
      <c r="C50" s="285">
        <f t="shared" si="13"/>
        <v>0</v>
      </c>
      <c r="D50" s="332">
        <f t="shared" si="13"/>
        <v>0</v>
      </c>
      <c r="E50" s="332">
        <f t="shared" si="13"/>
        <v>0</v>
      </c>
      <c r="F50" s="332">
        <f t="shared" si="13"/>
        <v>0</v>
      </c>
      <c r="G50" s="332">
        <f t="shared" si="13"/>
        <v>0</v>
      </c>
      <c r="H50" s="332">
        <f t="shared" si="13"/>
        <v>0</v>
      </c>
      <c r="I50" s="485">
        <f>+'Input Sheet'!C43</f>
        <v>0.5</v>
      </c>
    </row>
    <row r="51" spans="1:9" hidden="1">
      <c r="A51" s="555" t="str">
        <f>+'Input Sheet'!B44</f>
        <v>Grade II</v>
      </c>
      <c r="B51" s="285">
        <f t="shared" ref="B51:H51" si="14">+ROUND(B$34*$I51,0)</f>
        <v>0</v>
      </c>
      <c r="C51" s="285">
        <f t="shared" si="14"/>
        <v>0</v>
      </c>
      <c r="D51" s="285">
        <f t="shared" si="14"/>
        <v>0</v>
      </c>
      <c r="E51" s="285">
        <f t="shared" si="14"/>
        <v>0</v>
      </c>
      <c r="F51" s="285">
        <f t="shared" si="14"/>
        <v>0</v>
      </c>
      <c r="G51" s="285">
        <f t="shared" si="14"/>
        <v>0</v>
      </c>
      <c r="H51" s="285">
        <f t="shared" si="14"/>
        <v>0</v>
      </c>
      <c r="I51" s="485">
        <f>+'Input Sheet'!C44</f>
        <v>0.45</v>
      </c>
    </row>
    <row r="52" spans="1:9" hidden="1">
      <c r="A52" s="555" t="str">
        <f>+'Input Sheet'!B45</f>
        <v>Waste</v>
      </c>
      <c r="B52" s="285">
        <f t="shared" ref="B52:H52" si="15">+ROUND(B$34*$I52,0)</f>
        <v>0</v>
      </c>
      <c r="C52" s="285">
        <f t="shared" si="15"/>
        <v>0</v>
      </c>
      <c r="D52" s="332">
        <f t="shared" si="15"/>
        <v>0</v>
      </c>
      <c r="E52" s="332">
        <f t="shared" si="15"/>
        <v>0</v>
      </c>
      <c r="F52" s="332">
        <f t="shared" si="15"/>
        <v>0</v>
      </c>
      <c r="G52" s="332">
        <f t="shared" si="15"/>
        <v>0</v>
      </c>
      <c r="H52" s="332">
        <f t="shared" si="15"/>
        <v>0</v>
      </c>
      <c r="I52" s="485">
        <f>+'Input Sheet'!C45</f>
        <v>0.05</v>
      </c>
    </row>
    <row r="53" spans="1:9" hidden="1">
      <c r="A53" s="336"/>
      <c r="B53" s="272"/>
      <c r="C53" s="272"/>
      <c r="D53" s="294"/>
      <c r="E53" s="294"/>
      <c r="F53" s="294"/>
      <c r="G53" s="294"/>
      <c r="H53" s="294"/>
      <c r="I53" s="358"/>
    </row>
    <row r="54" spans="1:9" ht="30" hidden="1">
      <c r="A54" s="554" t="str">
        <f>+'Input Sheet'!B47</f>
        <v>Captive Operations Grade Output -Tur(MT)</v>
      </c>
      <c r="B54" s="272"/>
      <c r="C54" s="272"/>
      <c r="D54" s="294"/>
      <c r="E54" s="294"/>
      <c r="F54" s="294"/>
      <c r="G54" s="294"/>
      <c r="H54" s="294"/>
      <c r="I54" s="358"/>
    </row>
    <row r="55" spans="1:9" hidden="1">
      <c r="A55" s="555" t="str">
        <f>+'Input Sheet'!B48</f>
        <v>Grade I</v>
      </c>
      <c r="B55" s="285">
        <f t="shared" ref="B55:H57" si="16">+ROUND(B$35*$I55,0)</f>
        <v>0</v>
      </c>
      <c r="C55" s="285">
        <f t="shared" si="16"/>
        <v>0</v>
      </c>
      <c r="D55" s="332">
        <f t="shared" si="16"/>
        <v>0</v>
      </c>
      <c r="E55" s="332">
        <f t="shared" si="16"/>
        <v>0</v>
      </c>
      <c r="F55" s="332">
        <f t="shared" si="16"/>
        <v>0</v>
      </c>
      <c r="G55" s="332">
        <f t="shared" si="16"/>
        <v>0</v>
      </c>
      <c r="H55" s="332">
        <f t="shared" si="16"/>
        <v>0</v>
      </c>
      <c r="I55" s="485">
        <f>+'Input Sheet'!C48</f>
        <v>0.5</v>
      </c>
    </row>
    <row r="56" spans="1:9" hidden="1">
      <c r="A56" s="555" t="str">
        <f>+'Input Sheet'!B49</f>
        <v>Grade II</v>
      </c>
      <c r="B56" s="285">
        <f t="shared" si="16"/>
        <v>0</v>
      </c>
      <c r="C56" s="285">
        <f t="shared" si="16"/>
        <v>0</v>
      </c>
      <c r="D56" s="332">
        <f t="shared" si="16"/>
        <v>0</v>
      </c>
      <c r="E56" s="332">
        <f t="shared" si="16"/>
        <v>0</v>
      </c>
      <c r="F56" s="332">
        <f t="shared" si="16"/>
        <v>0</v>
      </c>
      <c r="G56" s="332">
        <f t="shared" si="16"/>
        <v>0</v>
      </c>
      <c r="H56" s="332">
        <f t="shared" si="16"/>
        <v>0</v>
      </c>
      <c r="I56" s="485">
        <f>+'Input Sheet'!C49</f>
        <v>0.45</v>
      </c>
    </row>
    <row r="57" spans="1:9" hidden="1">
      <c r="A57" s="555" t="str">
        <f>+'Input Sheet'!B50</f>
        <v>Waste</v>
      </c>
      <c r="B57" s="285">
        <f t="shared" si="16"/>
        <v>0</v>
      </c>
      <c r="C57" s="285">
        <f t="shared" si="16"/>
        <v>0</v>
      </c>
      <c r="D57" s="332">
        <f t="shared" si="16"/>
        <v>0</v>
      </c>
      <c r="E57" s="332">
        <f t="shared" si="16"/>
        <v>0</v>
      </c>
      <c r="F57" s="332">
        <f t="shared" si="16"/>
        <v>0</v>
      </c>
      <c r="G57" s="332">
        <f t="shared" si="16"/>
        <v>0</v>
      </c>
      <c r="H57" s="332">
        <f t="shared" si="16"/>
        <v>0</v>
      </c>
      <c r="I57" s="485">
        <f>+'Input Sheet'!C50</f>
        <v>0.05</v>
      </c>
    </row>
    <row r="58" spans="1:9">
      <c r="A58" s="336"/>
      <c r="B58" s="272"/>
      <c r="C58" s="272"/>
      <c r="D58" s="294"/>
      <c r="E58" s="294"/>
      <c r="F58" s="294"/>
      <c r="G58" s="294"/>
      <c r="H58" s="294"/>
      <c r="I58" s="358"/>
    </row>
    <row r="59" spans="1:9" ht="30" hidden="1">
      <c r="A59" s="554" t="str">
        <f>+'Input Sheet'!B52</f>
        <v>Captive Operations Grade Output -Chilli(MT)</v>
      </c>
      <c r="B59" s="272"/>
      <c r="C59" s="272"/>
      <c r="D59" s="294"/>
      <c r="E59" s="294"/>
      <c r="F59" s="294"/>
      <c r="G59" s="294"/>
      <c r="H59" s="294"/>
      <c r="I59" s="358"/>
    </row>
    <row r="60" spans="1:9" hidden="1">
      <c r="A60" s="555" t="str">
        <f>+'Input Sheet'!B53</f>
        <v>Green Chilli</v>
      </c>
      <c r="B60" s="285">
        <f t="shared" ref="B60:H62" si="17">+ROUND(B$36*$I60,0)</f>
        <v>0</v>
      </c>
      <c r="C60" s="285">
        <f t="shared" si="17"/>
        <v>0</v>
      </c>
      <c r="D60" s="332">
        <f t="shared" si="17"/>
        <v>0</v>
      </c>
      <c r="E60" s="332">
        <f t="shared" si="17"/>
        <v>0</v>
      </c>
      <c r="F60" s="332">
        <f t="shared" si="17"/>
        <v>0</v>
      </c>
      <c r="G60" s="332">
        <f t="shared" si="17"/>
        <v>0</v>
      </c>
      <c r="H60" s="332">
        <f t="shared" si="17"/>
        <v>0</v>
      </c>
      <c r="I60" s="485">
        <f>+'Input Sheet'!C53</f>
        <v>0</v>
      </c>
    </row>
    <row r="61" spans="1:9" hidden="1">
      <c r="A61" s="555" t="str">
        <f>+'Input Sheet'!B54</f>
        <v>Red Chilli</v>
      </c>
      <c r="B61" s="285">
        <f t="shared" si="17"/>
        <v>0</v>
      </c>
      <c r="C61" s="285">
        <f t="shared" si="17"/>
        <v>0</v>
      </c>
      <c r="D61" s="332">
        <f t="shared" si="17"/>
        <v>0</v>
      </c>
      <c r="E61" s="332">
        <f t="shared" si="17"/>
        <v>0</v>
      </c>
      <c r="F61" s="332">
        <f t="shared" si="17"/>
        <v>0</v>
      </c>
      <c r="G61" s="332">
        <f t="shared" si="17"/>
        <v>0</v>
      </c>
      <c r="H61" s="332">
        <f t="shared" si="17"/>
        <v>0</v>
      </c>
      <c r="I61" s="485">
        <f>+'Input Sheet'!C54</f>
        <v>0</v>
      </c>
    </row>
    <row r="62" spans="1:9" hidden="1">
      <c r="A62" s="555" t="str">
        <f>+'Input Sheet'!B55</f>
        <v>Waste</v>
      </c>
      <c r="B62" s="285">
        <f t="shared" si="17"/>
        <v>0</v>
      </c>
      <c r="C62" s="285">
        <f t="shared" si="17"/>
        <v>0</v>
      </c>
      <c r="D62" s="332">
        <f t="shared" si="17"/>
        <v>0</v>
      </c>
      <c r="E62" s="332">
        <f t="shared" si="17"/>
        <v>0</v>
      </c>
      <c r="F62" s="332">
        <f t="shared" si="17"/>
        <v>0</v>
      </c>
      <c r="G62" s="332">
        <f t="shared" si="17"/>
        <v>0</v>
      </c>
      <c r="H62" s="332">
        <f t="shared" si="17"/>
        <v>0</v>
      </c>
      <c r="I62" s="485">
        <f>+'Input Sheet'!C55</f>
        <v>0</v>
      </c>
    </row>
    <row r="63" spans="1:9" hidden="1">
      <c r="A63" s="336"/>
      <c r="B63" s="272"/>
      <c r="C63" s="272"/>
      <c r="D63" s="294"/>
      <c r="E63" s="294"/>
      <c r="F63" s="294"/>
      <c r="G63" s="294"/>
      <c r="H63" s="294"/>
      <c r="I63" s="358"/>
    </row>
    <row r="64" spans="1:9">
      <c r="A64" s="336"/>
      <c r="B64" s="272"/>
      <c r="C64" s="272"/>
      <c r="D64" s="294"/>
      <c r="E64" s="294"/>
      <c r="F64" s="294"/>
      <c r="G64" s="294"/>
      <c r="H64" s="294"/>
      <c r="I64" s="358"/>
    </row>
    <row r="65" spans="1:10">
      <c r="A65" s="336"/>
      <c r="B65" s="272"/>
      <c r="C65" s="272"/>
      <c r="D65" s="294"/>
      <c r="E65" s="294"/>
      <c r="F65" s="294"/>
      <c r="G65" s="294"/>
      <c r="H65" s="294"/>
      <c r="I65" s="358"/>
    </row>
    <row r="66" spans="1:10">
      <c r="A66" s="336" t="s">
        <v>916</v>
      </c>
      <c r="B66" s="272">
        <f>+B7*B8</f>
        <v>16</v>
      </c>
      <c r="C66" s="272">
        <f t="shared" ref="C66:H66" si="18">+B66</f>
        <v>16</v>
      </c>
      <c r="D66" s="294">
        <f t="shared" si="18"/>
        <v>16</v>
      </c>
      <c r="E66" s="294">
        <f t="shared" si="18"/>
        <v>16</v>
      </c>
      <c r="F66" s="294">
        <f t="shared" si="18"/>
        <v>16</v>
      </c>
      <c r="G66" s="294">
        <f t="shared" si="18"/>
        <v>16</v>
      </c>
      <c r="H66" s="294">
        <f t="shared" si="18"/>
        <v>16</v>
      </c>
      <c r="I66" s="358"/>
    </row>
    <row r="67" spans="1:10">
      <c r="A67" s="281" t="s">
        <v>657</v>
      </c>
      <c r="B67" s="282">
        <f t="shared" ref="B67:H67" si="19">ROUND(B22/B66,0)</f>
        <v>126</v>
      </c>
      <c r="C67" s="282">
        <f t="shared" si="19"/>
        <v>126</v>
      </c>
      <c r="D67" s="282">
        <f t="shared" si="19"/>
        <v>126</v>
      </c>
      <c r="E67" s="282">
        <f t="shared" si="19"/>
        <v>126</v>
      </c>
      <c r="F67" s="282">
        <f t="shared" si="19"/>
        <v>126</v>
      </c>
      <c r="G67" s="282">
        <f t="shared" si="19"/>
        <v>135</v>
      </c>
      <c r="H67" s="282">
        <f t="shared" si="19"/>
        <v>144</v>
      </c>
      <c r="I67" s="358"/>
    </row>
    <row r="68" spans="1:10" ht="45">
      <c r="A68" s="281" t="s">
        <v>917</v>
      </c>
      <c r="B68" s="282">
        <f t="shared" ref="B68:H68" si="20">ROUND((SUM(B32:B36))/B66,0)</f>
        <v>84</v>
      </c>
      <c r="C68" s="282">
        <f t="shared" si="20"/>
        <v>84</v>
      </c>
      <c r="D68" s="282">
        <f t="shared" si="20"/>
        <v>84</v>
      </c>
      <c r="E68" s="282">
        <f t="shared" si="20"/>
        <v>84</v>
      </c>
      <c r="F68" s="282">
        <f t="shared" si="20"/>
        <v>84</v>
      </c>
      <c r="G68" s="282">
        <f t="shared" si="20"/>
        <v>90</v>
      </c>
      <c r="H68" s="282">
        <f t="shared" si="20"/>
        <v>96</v>
      </c>
      <c r="I68" s="358"/>
    </row>
    <row r="69" spans="1:10">
      <c r="A69" s="548" t="s">
        <v>669</v>
      </c>
      <c r="B69" s="273">
        <f>+B67+B68</f>
        <v>210</v>
      </c>
      <c r="C69" s="273">
        <f t="shared" ref="C69:H69" si="21">+C67+C68</f>
        <v>210</v>
      </c>
      <c r="D69" s="273">
        <f t="shared" si="21"/>
        <v>210</v>
      </c>
      <c r="E69" s="273">
        <f t="shared" si="21"/>
        <v>210</v>
      </c>
      <c r="F69" s="273">
        <f t="shared" si="21"/>
        <v>210</v>
      </c>
      <c r="G69" s="273">
        <f t="shared" si="21"/>
        <v>225</v>
      </c>
      <c r="H69" s="273">
        <f t="shared" si="21"/>
        <v>240</v>
      </c>
      <c r="I69" s="360"/>
    </row>
    <row r="70" spans="1:10">
      <c r="A70" s="123"/>
      <c r="B70" s="62"/>
      <c r="C70" s="62"/>
      <c r="D70" s="75"/>
      <c r="E70" s="75"/>
      <c r="F70" s="75"/>
      <c r="G70" s="75"/>
      <c r="H70" s="75"/>
    </row>
    <row r="71" spans="1:10">
      <c r="A71" s="123"/>
      <c r="B71" s="62"/>
      <c r="C71" s="62"/>
      <c r="D71" s="75"/>
      <c r="E71" s="75"/>
      <c r="F71" s="75"/>
      <c r="G71" s="75"/>
      <c r="H71" s="75"/>
    </row>
    <row r="72" spans="1:10">
      <c r="A72" s="123"/>
      <c r="B72" s="62"/>
      <c r="C72" s="62"/>
      <c r="D72" s="75"/>
      <c r="E72" s="75"/>
      <c r="F72" s="75"/>
      <c r="G72" s="75"/>
      <c r="H72" s="75"/>
    </row>
    <row r="73" spans="1:10">
      <c r="B73" s="20"/>
      <c r="C73" s="20"/>
    </row>
    <row r="74" spans="1:10" ht="18.75">
      <c r="A74" s="602" t="s">
        <v>975</v>
      </c>
      <c r="B74" s="602"/>
      <c r="C74" s="602"/>
      <c r="D74" s="602"/>
      <c r="E74" s="602"/>
      <c r="F74" s="602"/>
      <c r="G74" s="602"/>
      <c r="H74" s="602"/>
      <c r="I74" s="602"/>
      <c r="J74" s="602"/>
    </row>
    <row r="75" spans="1:10">
      <c r="A75" s="538"/>
      <c r="B75" s="12"/>
      <c r="C75" s="12"/>
      <c r="D75" s="361"/>
      <c r="E75" s="361"/>
      <c r="F75" s="361"/>
      <c r="G75" s="361"/>
      <c r="H75" s="361"/>
    </row>
    <row r="76" spans="1:10">
      <c r="A76" s="556"/>
      <c r="B76" s="131"/>
      <c r="C76" s="131"/>
      <c r="D76" s="362">
        <v>1</v>
      </c>
      <c r="E76" s="362">
        <f t="shared" ref="E76:J76" si="22">(D76*5%)+D76</f>
        <v>1.05</v>
      </c>
      <c r="F76" s="362">
        <f t="shared" si="22"/>
        <v>1.1025</v>
      </c>
      <c r="G76" s="362">
        <f t="shared" si="22"/>
        <v>1.1576250000000001</v>
      </c>
      <c r="H76" s="362">
        <f t="shared" si="22"/>
        <v>1.2155062500000002</v>
      </c>
      <c r="I76" s="362">
        <f t="shared" si="22"/>
        <v>1.2762815625000004</v>
      </c>
      <c r="J76" s="362">
        <f t="shared" si="22"/>
        <v>1.3400956406250004</v>
      </c>
    </row>
    <row r="77" spans="1:10">
      <c r="A77" s="123"/>
      <c r="B77" s="62"/>
      <c r="C77" s="62"/>
      <c r="D77" s="75"/>
      <c r="E77" s="75"/>
      <c r="F77" s="75"/>
      <c r="G77" s="75"/>
      <c r="H77" s="75"/>
      <c r="I77" s="75"/>
      <c r="J77" s="75"/>
    </row>
    <row r="78" spans="1:10">
      <c r="A78" s="39" t="s">
        <v>0</v>
      </c>
      <c r="B78" s="103" t="s">
        <v>128</v>
      </c>
      <c r="C78" s="103" t="s">
        <v>148</v>
      </c>
      <c r="D78" s="339" t="s">
        <v>2</v>
      </c>
      <c r="E78" s="339" t="s">
        <v>3</v>
      </c>
      <c r="F78" s="339" t="s">
        <v>4</v>
      </c>
      <c r="G78" s="339" t="s">
        <v>5</v>
      </c>
      <c r="H78" s="339" t="s">
        <v>6</v>
      </c>
      <c r="I78" s="339" t="s">
        <v>164</v>
      </c>
      <c r="J78" s="339" t="s">
        <v>163</v>
      </c>
    </row>
    <row r="79" spans="1:10">
      <c r="A79" s="73"/>
      <c r="B79" s="63"/>
      <c r="C79" s="63"/>
      <c r="D79" s="309"/>
      <c r="E79" s="309"/>
      <c r="F79" s="309"/>
      <c r="G79" s="309"/>
      <c r="H79" s="309"/>
      <c r="I79" s="309"/>
      <c r="J79" s="309"/>
    </row>
    <row r="80" spans="1:10">
      <c r="A80" s="135" t="s">
        <v>124</v>
      </c>
      <c r="B80" s="65"/>
      <c r="C80" s="65"/>
      <c r="D80" s="363"/>
      <c r="E80" s="363"/>
      <c r="F80" s="363"/>
      <c r="G80" s="363"/>
      <c r="H80" s="363"/>
      <c r="I80" s="309"/>
      <c r="J80" s="309"/>
    </row>
    <row r="81" spans="1:10" s="310" customFormat="1">
      <c r="A81" s="527" t="s">
        <v>284</v>
      </c>
      <c r="B81" s="309" t="s">
        <v>289</v>
      </c>
      <c r="C81" s="139">
        <f>+B23</f>
        <v>800</v>
      </c>
      <c r="D81" s="451">
        <f t="shared" ref="D81:J81" si="23">B22*$C81*D$76/100000</f>
        <v>16.127999999999997</v>
      </c>
      <c r="E81" s="451">
        <f t="shared" si="23"/>
        <v>16.934399999999997</v>
      </c>
      <c r="F81" s="451">
        <f t="shared" si="23"/>
        <v>17.781119999999998</v>
      </c>
      <c r="G81" s="451">
        <f t="shared" si="23"/>
        <v>18.670175999999998</v>
      </c>
      <c r="H81" s="451">
        <f t="shared" si="23"/>
        <v>19.6036848</v>
      </c>
      <c r="I81" s="451">
        <f t="shared" si="23"/>
        <v>22.054145400000007</v>
      </c>
      <c r="J81" s="451">
        <f t="shared" si="23"/>
        <v>24.700642848000008</v>
      </c>
    </row>
    <row r="82" spans="1:10">
      <c r="A82" s="73" t="s">
        <v>699</v>
      </c>
      <c r="B82" s="63" t="s">
        <v>701</v>
      </c>
      <c r="C82" s="63" t="s">
        <v>700</v>
      </c>
      <c r="D82" s="451">
        <f t="shared" ref="D82:J82" si="24">+C170</f>
        <v>352.99250000000006</v>
      </c>
      <c r="E82" s="451">
        <f t="shared" si="24"/>
        <v>370.64212500000002</v>
      </c>
      <c r="F82" s="451">
        <f t="shared" si="24"/>
        <v>389.22449583333332</v>
      </c>
      <c r="G82" s="451">
        <f t="shared" si="24"/>
        <v>408.70348333333334</v>
      </c>
      <c r="H82" s="451">
        <f t="shared" si="24"/>
        <v>429.14099583333331</v>
      </c>
      <c r="I82" s="451">
        <f t="shared" si="24"/>
        <v>482.66640416666667</v>
      </c>
      <c r="J82" s="451">
        <f t="shared" si="24"/>
        <v>540.61710833333336</v>
      </c>
    </row>
    <row r="83" spans="1:10" hidden="1">
      <c r="A83" s="73" t="s">
        <v>871</v>
      </c>
      <c r="B83" s="63" t="s">
        <v>702</v>
      </c>
      <c r="C83" s="63">
        <v>10</v>
      </c>
      <c r="D83" s="451">
        <v>0</v>
      </c>
      <c r="E83" s="451">
        <v>0</v>
      </c>
      <c r="F83" s="451">
        <v>0</v>
      </c>
      <c r="G83" s="451">
        <v>0</v>
      </c>
      <c r="H83" s="451">
        <v>0</v>
      </c>
      <c r="I83" s="451">
        <v>0</v>
      </c>
      <c r="J83" s="451">
        <v>0</v>
      </c>
    </row>
    <row r="84" spans="1:10">
      <c r="A84" s="73" t="s">
        <v>962</v>
      </c>
      <c r="B84" s="63" t="s">
        <v>701</v>
      </c>
      <c r="C84" s="63">
        <f>+D376</f>
        <v>2500</v>
      </c>
      <c r="D84" s="451">
        <f>+F377</f>
        <v>0</v>
      </c>
      <c r="E84" s="451">
        <f t="shared" ref="E84:J84" si="25">+G377</f>
        <v>0</v>
      </c>
      <c r="F84" s="451">
        <f t="shared" si="25"/>
        <v>0</v>
      </c>
      <c r="G84" s="451">
        <f t="shared" si="25"/>
        <v>0</v>
      </c>
      <c r="H84" s="451">
        <f t="shared" si="25"/>
        <v>0</v>
      </c>
      <c r="I84" s="451">
        <f t="shared" si="25"/>
        <v>0</v>
      </c>
      <c r="J84" s="451">
        <f t="shared" si="25"/>
        <v>0</v>
      </c>
    </row>
    <row r="85" spans="1:10">
      <c r="A85" s="73" t="s">
        <v>866</v>
      </c>
      <c r="B85" s="63" t="s">
        <v>701</v>
      </c>
      <c r="C85" s="63" t="s">
        <v>700</v>
      </c>
      <c r="D85" s="451">
        <f>+C368</f>
        <v>0</v>
      </c>
      <c r="E85" s="451">
        <f t="shared" ref="E85:J85" si="26">+D368</f>
        <v>0</v>
      </c>
      <c r="F85" s="451">
        <f t="shared" si="26"/>
        <v>0</v>
      </c>
      <c r="G85" s="451">
        <f t="shared" si="26"/>
        <v>0</v>
      </c>
      <c r="H85" s="451">
        <f t="shared" si="26"/>
        <v>0</v>
      </c>
      <c r="I85" s="451">
        <f t="shared" si="26"/>
        <v>0</v>
      </c>
      <c r="J85" s="451">
        <f t="shared" si="26"/>
        <v>0</v>
      </c>
    </row>
    <row r="86" spans="1:10">
      <c r="A86" s="73"/>
      <c r="B86" s="63"/>
      <c r="C86" s="63"/>
      <c r="D86" s="451"/>
      <c r="E86" s="451"/>
      <c r="F86" s="451"/>
      <c r="G86" s="451"/>
      <c r="H86" s="451"/>
      <c r="I86" s="451"/>
      <c r="J86" s="451"/>
    </row>
    <row r="87" spans="1:10">
      <c r="A87" s="135" t="s">
        <v>124</v>
      </c>
      <c r="B87" s="65"/>
      <c r="C87" s="65"/>
      <c r="D87" s="452">
        <f t="shared" ref="D87:J87" si="27">SUM(D81:D85)</f>
        <v>369.12050000000005</v>
      </c>
      <c r="E87" s="452">
        <f t="shared" si="27"/>
        <v>387.576525</v>
      </c>
      <c r="F87" s="452">
        <f t="shared" si="27"/>
        <v>407.00561583333331</v>
      </c>
      <c r="G87" s="452">
        <f t="shared" si="27"/>
        <v>427.37365933333331</v>
      </c>
      <c r="H87" s="452">
        <f t="shared" si="27"/>
        <v>448.7446806333333</v>
      </c>
      <c r="I87" s="452">
        <f t="shared" si="27"/>
        <v>504.72054956666665</v>
      </c>
      <c r="J87" s="452">
        <f t="shared" si="27"/>
        <v>565.31775118133339</v>
      </c>
    </row>
    <row r="88" spans="1:10">
      <c r="A88" s="73"/>
      <c r="B88" s="63"/>
      <c r="C88" s="63"/>
      <c r="D88" s="451"/>
      <c r="E88" s="451"/>
      <c r="F88" s="451"/>
      <c r="G88" s="451"/>
      <c r="H88" s="451"/>
      <c r="I88" s="451"/>
      <c r="J88" s="451"/>
    </row>
    <row r="89" spans="1:10">
      <c r="A89" s="557" t="s">
        <v>764</v>
      </c>
      <c r="B89" s="63"/>
      <c r="C89" s="63" t="s">
        <v>766</v>
      </c>
      <c r="D89" s="451">
        <f t="shared" ref="D89:J90" si="28">+C226</f>
        <v>0</v>
      </c>
      <c r="E89" s="451">
        <f t="shared" si="28"/>
        <v>15.3475</v>
      </c>
      <c r="F89" s="451">
        <f t="shared" si="28"/>
        <v>32.229749999999996</v>
      </c>
      <c r="G89" s="451">
        <f t="shared" si="28"/>
        <v>50.768412499999997</v>
      </c>
      <c r="H89" s="451">
        <f t="shared" si="28"/>
        <v>71.07886666666667</v>
      </c>
      <c r="I89" s="451">
        <f t="shared" si="28"/>
        <v>93.291520833333337</v>
      </c>
      <c r="J89" s="451">
        <f t="shared" si="28"/>
        <v>118.94512083333333</v>
      </c>
    </row>
    <row r="90" spans="1:10">
      <c r="A90" s="557" t="s">
        <v>765</v>
      </c>
      <c r="B90" s="63"/>
      <c r="C90" s="63" t="s">
        <v>766</v>
      </c>
      <c r="D90" s="451">
        <f t="shared" si="28"/>
        <v>15.3475</v>
      </c>
      <c r="E90" s="451">
        <f t="shared" si="28"/>
        <v>32.229749999999996</v>
      </c>
      <c r="F90" s="451">
        <f t="shared" si="28"/>
        <v>50.768412499999997</v>
      </c>
      <c r="G90" s="451">
        <f t="shared" si="28"/>
        <v>71.07886666666667</v>
      </c>
      <c r="H90" s="451">
        <f t="shared" si="28"/>
        <v>93.291520833333337</v>
      </c>
      <c r="I90" s="451">
        <f t="shared" si="28"/>
        <v>118.94512083333333</v>
      </c>
      <c r="J90" s="451">
        <f t="shared" si="28"/>
        <v>148.40535833333334</v>
      </c>
    </row>
    <row r="91" spans="1:10">
      <c r="A91" s="73"/>
      <c r="B91" s="63"/>
      <c r="C91" s="63"/>
      <c r="D91" s="451"/>
      <c r="E91" s="451"/>
      <c r="F91" s="451"/>
      <c r="G91" s="451"/>
      <c r="H91" s="451"/>
      <c r="I91" s="451"/>
      <c r="J91" s="451"/>
    </row>
    <row r="92" spans="1:10">
      <c r="A92" s="73"/>
      <c r="B92" s="63"/>
      <c r="C92" s="63"/>
      <c r="D92" s="451"/>
      <c r="E92" s="451"/>
      <c r="F92" s="451"/>
      <c r="G92" s="451"/>
      <c r="H92" s="451"/>
      <c r="I92" s="451"/>
      <c r="J92" s="451"/>
    </row>
    <row r="93" spans="1:10">
      <c r="A93" s="135" t="s">
        <v>137</v>
      </c>
      <c r="B93" s="65"/>
      <c r="C93" s="65"/>
      <c r="D93" s="451"/>
      <c r="E93" s="451"/>
      <c r="F93" s="451"/>
      <c r="G93" s="451"/>
      <c r="H93" s="451"/>
      <c r="I93" s="451"/>
      <c r="J93" s="451"/>
    </row>
    <row r="94" spans="1:10">
      <c r="A94" s="135" t="s">
        <v>302</v>
      </c>
      <c r="B94" s="65"/>
      <c r="C94" s="63"/>
      <c r="D94" s="451"/>
      <c r="E94" s="451"/>
      <c r="F94" s="451"/>
      <c r="G94" s="451"/>
      <c r="H94" s="451"/>
      <c r="I94" s="451"/>
      <c r="J94" s="451"/>
    </row>
    <row r="95" spans="1:10">
      <c r="A95" s="73" t="s">
        <v>762</v>
      </c>
      <c r="B95" s="63" t="s">
        <v>289</v>
      </c>
      <c r="C95" s="63" t="s">
        <v>763</v>
      </c>
      <c r="D95" s="308">
        <f t="shared" ref="D95:J95" si="29">+B283</f>
        <v>310.08</v>
      </c>
      <c r="E95" s="308">
        <f t="shared" si="29"/>
        <v>321.75</v>
      </c>
      <c r="F95" s="308">
        <f t="shared" si="29"/>
        <v>337.88</v>
      </c>
      <c r="G95" s="308">
        <f t="shared" si="29"/>
        <v>354.82</v>
      </c>
      <c r="H95" s="308">
        <f t="shared" si="29"/>
        <v>372.56</v>
      </c>
      <c r="I95" s="308">
        <f t="shared" si="29"/>
        <v>419.18</v>
      </c>
      <c r="J95" s="308">
        <f t="shared" si="29"/>
        <v>469.56</v>
      </c>
    </row>
    <row r="96" spans="1:10">
      <c r="A96" s="73" t="s">
        <v>308</v>
      </c>
      <c r="B96" s="63" t="s">
        <v>792</v>
      </c>
      <c r="C96" s="63" t="s">
        <v>793</v>
      </c>
      <c r="D96" s="308">
        <f>+B69*300*'Input Sheet'!C198/100000</f>
        <v>9.4499999999999993</v>
      </c>
      <c r="E96" s="308">
        <f>+C69*300*'Input Sheet'!D198/100000</f>
        <v>10.71</v>
      </c>
      <c r="F96" s="308">
        <f>+D69*300*'Input Sheet'!E198/100000</f>
        <v>11.97</v>
      </c>
      <c r="G96" s="308">
        <f>+E69*300*'Input Sheet'!F198/100000</f>
        <v>13.23</v>
      </c>
      <c r="H96" s="308">
        <f>+F69*300*'Input Sheet'!G198/100000</f>
        <v>14.49</v>
      </c>
      <c r="I96" s="308">
        <f>+G69*300*'Input Sheet'!H198/100000</f>
        <v>16.875</v>
      </c>
      <c r="J96" s="308">
        <f>+H69*300*'Input Sheet'!I198/100000</f>
        <v>20.16</v>
      </c>
    </row>
    <row r="97" spans="1:12">
      <c r="A97" s="73" t="s">
        <v>139</v>
      </c>
      <c r="B97" s="63" t="s">
        <v>805</v>
      </c>
      <c r="C97" s="63" t="s">
        <v>966</v>
      </c>
      <c r="D97" s="308">
        <f>+B69*'Input Sheet'!$B$214/100000</f>
        <v>5.5104000000000015</v>
      </c>
      <c r="E97" s="308">
        <f>+C69*'Input Sheet'!$B$214/100000</f>
        <v>5.5104000000000015</v>
      </c>
      <c r="F97" s="308">
        <f>+D69*'Input Sheet'!$B$214/100000</f>
        <v>5.5104000000000015</v>
      </c>
      <c r="G97" s="308">
        <f>+E69*'Input Sheet'!$B$214/100000</f>
        <v>5.5104000000000015</v>
      </c>
      <c r="H97" s="308">
        <f>+F69*'Input Sheet'!$B$214/100000</f>
        <v>5.5104000000000015</v>
      </c>
      <c r="I97" s="308">
        <f>+G69*'Input Sheet'!$B$214/100000</f>
        <v>5.9040000000000008</v>
      </c>
      <c r="J97" s="308">
        <f>+H69*'Input Sheet'!$B$214/100000</f>
        <v>6.297600000000001</v>
      </c>
    </row>
    <row r="98" spans="1:12">
      <c r="A98" s="73" t="s">
        <v>797</v>
      </c>
      <c r="B98" s="63" t="s">
        <v>805</v>
      </c>
      <c r="C98" s="63">
        <v>500</v>
      </c>
      <c r="D98" s="308">
        <f t="shared" ref="D98:J98" si="30">+$C$98*B69/100000</f>
        <v>1.05</v>
      </c>
      <c r="E98" s="308">
        <f t="shared" si="30"/>
        <v>1.05</v>
      </c>
      <c r="F98" s="308">
        <f t="shared" si="30"/>
        <v>1.05</v>
      </c>
      <c r="G98" s="308">
        <f t="shared" si="30"/>
        <v>1.05</v>
      </c>
      <c r="H98" s="308">
        <f t="shared" si="30"/>
        <v>1.05</v>
      </c>
      <c r="I98" s="308">
        <f t="shared" si="30"/>
        <v>1.125</v>
      </c>
      <c r="J98" s="308">
        <f t="shared" si="30"/>
        <v>1.2</v>
      </c>
      <c r="K98" s="317">
        <f>500*'[1]Output Schedule'!J122/100000</f>
        <v>0</v>
      </c>
      <c r="L98" s="313">
        <f>500*'[1]Output Schedule'!K122/100000</f>
        <v>0</v>
      </c>
    </row>
    <row r="99" spans="1:12" ht="30">
      <c r="A99" s="73" t="s">
        <v>798</v>
      </c>
      <c r="B99" s="63" t="s">
        <v>803</v>
      </c>
      <c r="C99" s="63">
        <v>800</v>
      </c>
      <c r="D99" s="308">
        <f>+$C$99*'Input Sheet'!C198/100000</f>
        <v>0.12</v>
      </c>
      <c r="E99" s="308">
        <f>+$C$99*'Input Sheet'!D198/100000</f>
        <v>0.13600000000000001</v>
      </c>
      <c r="F99" s="308">
        <f>+$C$99*'Input Sheet'!E198/100000</f>
        <v>0.152</v>
      </c>
      <c r="G99" s="308">
        <f>+$C$99*'Input Sheet'!F198/100000</f>
        <v>0.16800000000000001</v>
      </c>
      <c r="H99" s="308">
        <f>+$C$99*'Input Sheet'!G198/100000</f>
        <v>0.184</v>
      </c>
      <c r="I99" s="308">
        <f>+$C$99*'Input Sheet'!H198/100000</f>
        <v>0.2</v>
      </c>
      <c r="J99" s="308">
        <f>+$C$99*'Input Sheet'!I198/100000</f>
        <v>0.224</v>
      </c>
      <c r="K99" s="317">
        <f>800*'[1]Manpower Schedule'!J82/100000</f>
        <v>0</v>
      </c>
      <c r="L99" s="313">
        <f>800*'[1]Manpower Schedule'!K82/100000</f>
        <v>0</v>
      </c>
    </row>
    <row r="100" spans="1:12">
      <c r="A100" s="73" t="s">
        <v>799</v>
      </c>
      <c r="B100" s="63" t="s">
        <v>804</v>
      </c>
      <c r="C100" s="63">
        <v>500</v>
      </c>
      <c r="D100" s="308">
        <f t="shared" ref="D100:J100" si="31">+$C$100*B37/100000</f>
        <v>6.72</v>
      </c>
      <c r="E100" s="308">
        <f t="shared" si="31"/>
        <v>6.72</v>
      </c>
      <c r="F100" s="308">
        <f t="shared" si="31"/>
        <v>6.72</v>
      </c>
      <c r="G100" s="308">
        <f t="shared" si="31"/>
        <v>6.72</v>
      </c>
      <c r="H100" s="308">
        <f t="shared" si="31"/>
        <v>6.72</v>
      </c>
      <c r="I100" s="308">
        <f t="shared" si="31"/>
        <v>7.2</v>
      </c>
      <c r="J100" s="308">
        <f t="shared" si="31"/>
        <v>7.68</v>
      </c>
      <c r="K100" s="317">
        <f>500*'[1]Output Schedule'!J76/100000</f>
        <v>0</v>
      </c>
      <c r="L100" s="313">
        <f>500*'[1]Output Schedule'!K76/100000</f>
        <v>0</v>
      </c>
    </row>
    <row r="101" spans="1:12">
      <c r="A101" s="73" t="s">
        <v>800</v>
      </c>
      <c r="B101" s="63" t="s">
        <v>805</v>
      </c>
      <c r="C101" s="63">
        <v>300</v>
      </c>
      <c r="D101" s="308">
        <f t="shared" ref="D101:J101" si="32">+$C$101*B69/100000</f>
        <v>0.63</v>
      </c>
      <c r="E101" s="308">
        <f t="shared" si="32"/>
        <v>0.63</v>
      </c>
      <c r="F101" s="308">
        <f t="shared" si="32"/>
        <v>0.63</v>
      </c>
      <c r="G101" s="308">
        <f t="shared" si="32"/>
        <v>0.63</v>
      </c>
      <c r="H101" s="308">
        <f t="shared" si="32"/>
        <v>0.63</v>
      </c>
      <c r="I101" s="308">
        <f t="shared" si="32"/>
        <v>0.67500000000000004</v>
      </c>
      <c r="J101" s="308">
        <f t="shared" si="32"/>
        <v>0.72</v>
      </c>
      <c r="K101" s="317">
        <f>300*'[1]Output Schedule'!J122/100000</f>
        <v>0</v>
      </c>
      <c r="L101" s="313">
        <f>300*'[1]Output Schedule'!K122/100000</f>
        <v>0</v>
      </c>
    </row>
    <row r="102" spans="1:12">
      <c r="A102" s="73" t="s">
        <v>801</v>
      </c>
      <c r="B102" s="63" t="s">
        <v>804</v>
      </c>
      <c r="C102" s="63">
        <v>159</v>
      </c>
      <c r="D102" s="308">
        <f t="shared" ref="D102:J102" si="33">+$C$102*C139/100000</f>
        <v>1.02396</v>
      </c>
      <c r="E102" s="308">
        <f t="shared" si="33"/>
        <v>1.02396</v>
      </c>
      <c r="F102" s="308">
        <f t="shared" si="33"/>
        <v>1.02396</v>
      </c>
      <c r="G102" s="308">
        <f t="shared" si="33"/>
        <v>1.02396</v>
      </c>
      <c r="H102" s="308">
        <f t="shared" si="33"/>
        <v>1.02396</v>
      </c>
      <c r="I102" s="308">
        <f t="shared" si="33"/>
        <v>1.0971</v>
      </c>
      <c r="J102" s="308">
        <f t="shared" si="33"/>
        <v>1.1702399999999999</v>
      </c>
      <c r="K102" s="317">
        <f>500*('[1]Sales Schedule'!K63+'[1]Sales Schedule'!K67+'[1]Sales Schedule'!K71)/100000</f>
        <v>0</v>
      </c>
      <c r="L102" s="313">
        <f>500*('[1]Sales Schedule'!L63+'[1]Sales Schedule'!L67+'[1]Sales Schedule'!L71)/100000</f>
        <v>0</v>
      </c>
    </row>
    <row r="103" spans="1:12">
      <c r="A103" s="73" t="s">
        <v>802</v>
      </c>
      <c r="B103" s="63" t="s">
        <v>805</v>
      </c>
      <c r="C103" s="63">
        <v>500</v>
      </c>
      <c r="D103" s="308">
        <f t="shared" ref="D103:J103" si="34">+$C$103*B69/100000</f>
        <v>1.05</v>
      </c>
      <c r="E103" s="308">
        <f t="shared" si="34"/>
        <v>1.05</v>
      </c>
      <c r="F103" s="308">
        <f t="shared" si="34"/>
        <v>1.05</v>
      </c>
      <c r="G103" s="308">
        <f t="shared" si="34"/>
        <v>1.05</v>
      </c>
      <c r="H103" s="308">
        <f t="shared" si="34"/>
        <v>1.05</v>
      </c>
      <c r="I103" s="308">
        <f t="shared" si="34"/>
        <v>1.125</v>
      </c>
      <c r="J103" s="308">
        <f t="shared" si="34"/>
        <v>1.2</v>
      </c>
      <c r="K103" s="317">
        <f>500*'[1]Output Schedule'!J122/100000</f>
        <v>0</v>
      </c>
      <c r="L103" s="313">
        <f>500*'[1]Output Schedule'!K122/100000</f>
        <v>0</v>
      </c>
    </row>
    <row r="104" spans="1:12">
      <c r="A104" s="73"/>
      <c r="B104" s="63"/>
      <c r="C104" s="63"/>
      <c r="D104" s="308"/>
      <c r="E104" s="308"/>
      <c r="F104" s="308"/>
      <c r="G104" s="308"/>
      <c r="H104" s="308"/>
      <c r="I104" s="308"/>
      <c r="J104" s="308"/>
    </row>
    <row r="105" spans="1:12">
      <c r="A105" s="73"/>
      <c r="B105" s="63"/>
      <c r="C105" s="63"/>
      <c r="D105" s="308"/>
      <c r="E105" s="308"/>
      <c r="F105" s="308"/>
      <c r="G105" s="308"/>
      <c r="H105" s="308"/>
      <c r="I105" s="308"/>
      <c r="J105" s="308"/>
    </row>
    <row r="106" spans="1:12">
      <c r="A106" s="73" t="s">
        <v>747</v>
      </c>
      <c r="B106" s="63"/>
      <c r="C106" s="63"/>
      <c r="D106" s="308">
        <f t="shared" ref="D106:J107" si="35">+B351</f>
        <v>0</v>
      </c>
      <c r="E106" s="308">
        <f t="shared" si="35"/>
        <v>3.6480000000000001</v>
      </c>
      <c r="F106" s="308">
        <f t="shared" si="35"/>
        <v>3.8304</v>
      </c>
      <c r="G106" s="308">
        <f t="shared" si="35"/>
        <v>4.0224000000000002</v>
      </c>
      <c r="H106" s="308">
        <f t="shared" si="35"/>
        <v>4.2240000000000002</v>
      </c>
      <c r="I106" s="308">
        <f t="shared" si="35"/>
        <v>4.4352</v>
      </c>
      <c r="J106" s="308">
        <f t="shared" si="35"/>
        <v>4.6576000000000004</v>
      </c>
    </row>
    <row r="107" spans="1:12">
      <c r="A107" s="73" t="s">
        <v>748</v>
      </c>
      <c r="B107" s="63"/>
      <c r="C107" s="63"/>
      <c r="D107" s="308">
        <f t="shared" si="35"/>
        <v>3.6480000000000001</v>
      </c>
      <c r="E107" s="308">
        <f t="shared" si="35"/>
        <v>3.8304</v>
      </c>
      <c r="F107" s="308">
        <f t="shared" si="35"/>
        <v>4.0224000000000002</v>
      </c>
      <c r="G107" s="308">
        <f t="shared" si="35"/>
        <v>4.2240000000000002</v>
      </c>
      <c r="H107" s="308">
        <f t="shared" si="35"/>
        <v>4.4352</v>
      </c>
      <c r="I107" s="308">
        <f t="shared" si="35"/>
        <v>4.6576000000000004</v>
      </c>
      <c r="J107" s="308">
        <f t="shared" si="35"/>
        <v>4.8912000000000004</v>
      </c>
    </row>
    <row r="108" spans="1:12">
      <c r="A108" s="558"/>
      <c r="B108" s="64"/>
      <c r="C108" s="64"/>
      <c r="D108" s="451"/>
      <c r="E108" s="451"/>
      <c r="F108" s="451"/>
      <c r="G108" s="451"/>
      <c r="H108" s="451"/>
      <c r="I108" s="451"/>
      <c r="J108" s="451"/>
    </row>
    <row r="109" spans="1:12">
      <c r="A109" s="143" t="s">
        <v>309</v>
      </c>
      <c r="B109" s="64"/>
      <c r="C109" s="64"/>
      <c r="D109" s="452">
        <f t="shared" ref="D109:J109" si="36">SUM(D95:D106)-D107</f>
        <v>331.98635999999999</v>
      </c>
      <c r="E109" s="452">
        <f t="shared" si="36"/>
        <v>348.39796000000007</v>
      </c>
      <c r="F109" s="452">
        <f t="shared" si="36"/>
        <v>365.79436000000004</v>
      </c>
      <c r="G109" s="452">
        <f t="shared" si="36"/>
        <v>384.00076000000007</v>
      </c>
      <c r="H109" s="452">
        <f t="shared" si="36"/>
        <v>403.00716000000006</v>
      </c>
      <c r="I109" s="452">
        <f t="shared" si="36"/>
        <v>453.15870000000001</v>
      </c>
      <c r="J109" s="452">
        <f t="shared" si="36"/>
        <v>507.97823999999991</v>
      </c>
    </row>
    <row r="110" spans="1:12">
      <c r="A110" s="123"/>
      <c r="B110" s="62"/>
      <c r="C110" s="62"/>
      <c r="D110" s="75"/>
      <c r="E110" s="75"/>
      <c r="F110" s="75"/>
      <c r="G110" s="75"/>
      <c r="H110" s="75"/>
      <c r="I110" s="75"/>
      <c r="J110" s="75"/>
    </row>
    <row r="111" spans="1:12">
      <c r="A111" s="135" t="s">
        <v>300</v>
      </c>
      <c r="B111" s="135"/>
      <c r="C111" s="135"/>
      <c r="D111" s="452"/>
      <c r="E111" s="452"/>
      <c r="F111" s="452"/>
      <c r="G111" s="452"/>
      <c r="H111" s="452"/>
      <c r="I111" s="452"/>
      <c r="J111" s="452"/>
    </row>
    <row r="112" spans="1:12">
      <c r="A112" s="135"/>
      <c r="B112" s="135"/>
      <c r="C112" s="135"/>
      <c r="D112" s="452"/>
      <c r="E112" s="452"/>
      <c r="F112" s="452"/>
      <c r="G112" s="452"/>
      <c r="H112" s="452"/>
      <c r="I112" s="452"/>
      <c r="J112" s="452"/>
    </row>
    <row r="113" spans="1:13">
      <c r="A113" s="311" t="s">
        <v>727</v>
      </c>
      <c r="B113" s="314"/>
      <c r="C113" s="312"/>
      <c r="D113" s="453"/>
      <c r="E113" s="453"/>
      <c r="F113" s="453"/>
      <c r="G113" s="453"/>
      <c r="H113" s="453"/>
      <c r="I113" s="453"/>
      <c r="J113" s="454"/>
      <c r="K113" s="315"/>
      <c r="L113" s="315"/>
    </row>
    <row r="114" spans="1:13" ht="27.75" customHeight="1">
      <c r="A114" s="73" t="s">
        <v>728</v>
      </c>
      <c r="B114" s="63" t="s">
        <v>729</v>
      </c>
      <c r="C114" s="63">
        <v>0.01</v>
      </c>
      <c r="D114" s="308">
        <f>+('2.Capex Details'!$G$64+'2.Capex Details'!$G$12)*'13.Facility 2 Grain Processing-'!$C$114</f>
        <v>1.5071008999999997</v>
      </c>
      <c r="E114" s="308">
        <f>+D114*E76</f>
        <v>1.5824559449999998</v>
      </c>
      <c r="F114" s="308">
        <f>+$D$114*F76</f>
        <v>1.6615787422499997</v>
      </c>
      <c r="G114" s="308">
        <f>+$D$114*G76</f>
        <v>1.7446576793624999</v>
      </c>
      <c r="H114" s="308">
        <f>+$D$114*H76</f>
        <v>1.8318905633306251</v>
      </c>
      <c r="I114" s="308">
        <f>+$D$114*I76</f>
        <v>1.9234850914971564</v>
      </c>
      <c r="J114" s="308">
        <f>+$D$114*J76</f>
        <v>2.0196593460720145</v>
      </c>
      <c r="K114" s="316"/>
      <c r="L114" s="316"/>
    </row>
    <row r="115" spans="1:13" ht="21.75" customHeight="1">
      <c r="A115" s="73" t="s">
        <v>730</v>
      </c>
      <c r="B115" s="63" t="s">
        <v>731</v>
      </c>
      <c r="C115" s="63">
        <v>5.0000000000000001E-3</v>
      </c>
      <c r="D115" s="308">
        <f>+('2.Capex Details'!$G$64+'2.Capex Details'!$G$12)*C115</f>
        <v>0.75355044999999987</v>
      </c>
      <c r="E115" s="308">
        <f t="shared" ref="E115:J115" si="37">+$D$115*E76</f>
        <v>0.79122797249999988</v>
      </c>
      <c r="F115" s="308">
        <f t="shared" si="37"/>
        <v>0.83078937112499984</v>
      </c>
      <c r="G115" s="308">
        <f t="shared" si="37"/>
        <v>0.87232883968124997</v>
      </c>
      <c r="H115" s="308">
        <f t="shared" si="37"/>
        <v>0.91594528166531253</v>
      </c>
      <c r="I115" s="308">
        <f t="shared" si="37"/>
        <v>0.9617425457485782</v>
      </c>
      <c r="J115" s="308">
        <f t="shared" si="37"/>
        <v>1.0098296730360072</v>
      </c>
      <c r="K115" s="316"/>
      <c r="L115" s="316"/>
    </row>
    <row r="116" spans="1:13" ht="29.25" customHeight="1">
      <c r="A116" s="73" t="s">
        <v>732</v>
      </c>
      <c r="B116" s="63" t="s">
        <v>733</v>
      </c>
      <c r="C116" s="63" t="s">
        <v>806</v>
      </c>
      <c r="D116" s="308">
        <f>+'Input Sheet'!H186+'Input Sheet'!H188+'Input Sheet'!H191+'Input Sheet'!H192</f>
        <v>1.92</v>
      </c>
      <c r="E116" s="308">
        <f t="shared" ref="E116:J116" si="38">+$D$116*E76</f>
        <v>2.016</v>
      </c>
      <c r="F116" s="308">
        <f t="shared" si="38"/>
        <v>2.1168</v>
      </c>
      <c r="G116" s="308">
        <f t="shared" si="38"/>
        <v>2.2226400000000002</v>
      </c>
      <c r="H116" s="308">
        <f t="shared" si="38"/>
        <v>2.3337720000000002</v>
      </c>
      <c r="I116" s="308">
        <f t="shared" si="38"/>
        <v>2.4504606000000004</v>
      </c>
      <c r="J116" s="308">
        <f t="shared" si="38"/>
        <v>2.5729836300000009</v>
      </c>
      <c r="K116" s="316"/>
      <c r="L116" s="316"/>
    </row>
    <row r="117" spans="1:13" ht="23.25" customHeight="1">
      <c r="A117" s="73" t="s">
        <v>734</v>
      </c>
      <c r="B117" s="63" t="s">
        <v>713</v>
      </c>
      <c r="C117" s="63"/>
      <c r="D117" s="308">
        <f>+'Input Sheet'!E206/100000</f>
        <v>0.72</v>
      </c>
      <c r="E117" s="308">
        <f t="shared" ref="E117:J117" si="39">+$D$117*E76</f>
        <v>0.75600000000000001</v>
      </c>
      <c r="F117" s="308">
        <f t="shared" si="39"/>
        <v>0.79379999999999995</v>
      </c>
      <c r="G117" s="308">
        <f t="shared" si="39"/>
        <v>0.83349000000000006</v>
      </c>
      <c r="H117" s="308">
        <f t="shared" si="39"/>
        <v>0.87516450000000012</v>
      </c>
      <c r="I117" s="308">
        <f t="shared" si="39"/>
        <v>0.91892272500000027</v>
      </c>
      <c r="J117" s="308">
        <f t="shared" si="39"/>
        <v>0.96486886125000026</v>
      </c>
      <c r="K117" s="316"/>
      <c r="L117" s="316"/>
      <c r="M117">
        <v>30</v>
      </c>
    </row>
    <row r="118" spans="1:13" ht="23.25" customHeight="1">
      <c r="A118" s="135" t="s">
        <v>934</v>
      </c>
      <c r="B118" s="63"/>
      <c r="C118" s="63"/>
      <c r="D118" s="308"/>
      <c r="E118" s="308"/>
      <c r="F118" s="308"/>
      <c r="G118" s="308"/>
      <c r="H118" s="308"/>
      <c r="I118" s="308"/>
      <c r="J118" s="308"/>
      <c r="K118" s="316"/>
      <c r="L118" s="316"/>
    </row>
    <row r="119" spans="1:13" ht="23.25" customHeight="1">
      <c r="A119" s="73" t="s">
        <v>935</v>
      </c>
      <c r="B119" s="63" t="s">
        <v>943</v>
      </c>
      <c r="C119" s="63">
        <v>1.4</v>
      </c>
      <c r="D119" s="308">
        <f>+'Input Sheet'!$C$22*'13.Facility 2 Grain Processing-'!C119/100000*12</f>
        <v>0.16800000000000001</v>
      </c>
      <c r="E119" s="308">
        <f>+D119*E76</f>
        <v>0.17640000000000003</v>
      </c>
      <c r="F119" s="308">
        <f t="shared" ref="F119:J119" si="40">+E119*F76</f>
        <v>0.19448100000000004</v>
      </c>
      <c r="G119" s="308">
        <f t="shared" si="40"/>
        <v>0.22513606762500007</v>
      </c>
      <c r="H119" s="308">
        <f t="shared" si="40"/>
        <v>0.27365429729861029</v>
      </c>
      <c r="I119" s="308">
        <f t="shared" si="40"/>
        <v>0.34925993414110995</v>
      </c>
      <c r="J119" s="308">
        <f t="shared" si="40"/>
        <v>0.46804171518747617</v>
      </c>
      <c r="K119" s="316"/>
      <c r="L119" s="316"/>
    </row>
    <row r="120" spans="1:13" ht="23.25" customHeight="1">
      <c r="A120" s="73" t="s">
        <v>936</v>
      </c>
      <c r="B120" s="63" t="s">
        <v>944</v>
      </c>
      <c r="C120" s="63">
        <v>5000</v>
      </c>
      <c r="D120" s="308">
        <f>+C120*2/100000</f>
        <v>0.1</v>
      </c>
      <c r="E120" s="308">
        <f>+D120*E76</f>
        <v>0.10500000000000001</v>
      </c>
      <c r="F120" s="308">
        <f t="shared" ref="F120:J120" si="41">+E120*F76</f>
        <v>0.11576250000000002</v>
      </c>
      <c r="G120" s="308">
        <f t="shared" si="41"/>
        <v>0.13400956406250003</v>
      </c>
      <c r="H120" s="308">
        <f t="shared" si="41"/>
        <v>0.16288946267774421</v>
      </c>
      <c r="I120" s="308">
        <f t="shared" si="41"/>
        <v>0.20789281794113687</v>
      </c>
      <c r="J120" s="308">
        <f t="shared" si="41"/>
        <v>0.27859625904016438</v>
      </c>
      <c r="K120" s="316"/>
      <c r="L120" s="316"/>
    </row>
    <row r="121" spans="1:13" ht="23.25" customHeight="1">
      <c r="A121" s="73" t="s">
        <v>937</v>
      </c>
      <c r="B121" s="63" t="s">
        <v>944</v>
      </c>
      <c r="C121" s="63">
        <v>5000</v>
      </c>
      <c r="D121" s="308">
        <f>+C121*2/100000</f>
        <v>0.1</v>
      </c>
      <c r="E121" s="308">
        <f>+D121*E76</f>
        <v>0.10500000000000001</v>
      </c>
      <c r="F121" s="308">
        <f t="shared" ref="F121:J121" si="42">+E121*F76</f>
        <v>0.11576250000000002</v>
      </c>
      <c r="G121" s="308">
        <f t="shared" si="42"/>
        <v>0.13400956406250003</v>
      </c>
      <c r="H121" s="308">
        <f t="shared" si="42"/>
        <v>0.16288946267774421</v>
      </c>
      <c r="I121" s="308">
        <f t="shared" si="42"/>
        <v>0.20789281794113687</v>
      </c>
      <c r="J121" s="308">
        <f t="shared" si="42"/>
        <v>0.27859625904016438</v>
      </c>
      <c r="K121" s="316"/>
      <c r="L121" s="316"/>
    </row>
    <row r="122" spans="1:13" ht="23.25" customHeight="1">
      <c r="A122" s="73" t="s">
        <v>938</v>
      </c>
      <c r="B122" s="63" t="s">
        <v>945</v>
      </c>
      <c r="C122" s="63">
        <f>800*12</f>
        <v>9600</v>
      </c>
      <c r="D122" s="308">
        <f>+C122/100000</f>
        <v>9.6000000000000002E-2</v>
      </c>
      <c r="E122" s="308">
        <f>+D122*E76</f>
        <v>0.1008</v>
      </c>
      <c r="F122" s="308">
        <f t="shared" ref="F122:J122" si="43">+E122*F76</f>
        <v>0.11113200000000001</v>
      </c>
      <c r="G122" s="308">
        <f t="shared" si="43"/>
        <v>0.12864918150000001</v>
      </c>
      <c r="H122" s="308">
        <f t="shared" si="43"/>
        <v>0.15637388417063441</v>
      </c>
      <c r="I122" s="308">
        <f t="shared" si="43"/>
        <v>0.19957710522349137</v>
      </c>
      <c r="J122" s="308">
        <f t="shared" si="43"/>
        <v>0.2674524086785578</v>
      </c>
      <c r="K122" s="316"/>
      <c r="L122" s="316"/>
    </row>
    <row r="123" spans="1:13" ht="23.25" customHeight="1">
      <c r="A123" s="73" t="s">
        <v>293</v>
      </c>
      <c r="B123" s="63" t="s">
        <v>946</v>
      </c>
      <c r="C123" s="63">
        <v>4.5</v>
      </c>
      <c r="D123" s="308">
        <f>+C123*('Input Sheet'!C22/10)*12/100000</f>
        <v>5.3999999999999999E-2</v>
      </c>
      <c r="E123" s="308">
        <f>+D123*E76</f>
        <v>5.67E-2</v>
      </c>
      <c r="F123" s="308">
        <f t="shared" ref="F123:J123" si="44">+E123*F76</f>
        <v>6.2511750000000005E-2</v>
      </c>
      <c r="G123" s="308">
        <f t="shared" si="44"/>
        <v>7.2365164593750017E-2</v>
      </c>
      <c r="H123" s="308">
        <f t="shared" si="44"/>
        <v>8.7960309845981868E-2</v>
      </c>
      <c r="I123" s="308">
        <f t="shared" si="44"/>
        <v>0.11226212168821391</v>
      </c>
      <c r="J123" s="308">
        <f t="shared" si="44"/>
        <v>0.15044197988168878</v>
      </c>
      <c r="K123" s="316"/>
      <c r="L123" s="316"/>
    </row>
    <row r="124" spans="1:13" ht="23.25" customHeight="1">
      <c r="A124" s="73" t="s">
        <v>730</v>
      </c>
      <c r="B124" s="63" t="s">
        <v>946</v>
      </c>
      <c r="C124" s="63">
        <v>2.5</v>
      </c>
      <c r="D124" s="308">
        <f>+C124*('Input Sheet'!C22/10)*12/100000</f>
        <v>0.03</v>
      </c>
      <c r="E124" s="308">
        <f>+D124*E76</f>
        <v>3.15E-2</v>
      </c>
      <c r="F124" s="308">
        <f t="shared" ref="F124:J124" si="45">+E124*F76</f>
        <v>3.4728750000000003E-2</v>
      </c>
      <c r="G124" s="308">
        <f t="shared" si="45"/>
        <v>4.0202869218750006E-2</v>
      </c>
      <c r="H124" s="308">
        <f t="shared" si="45"/>
        <v>4.8866838803323258E-2</v>
      </c>
      <c r="I124" s="308">
        <f t="shared" si="45"/>
        <v>6.2367845382341053E-2</v>
      </c>
      <c r="J124" s="308">
        <f t="shared" si="45"/>
        <v>8.3578877712049304E-2</v>
      </c>
      <c r="K124" s="316"/>
      <c r="L124" s="316"/>
    </row>
    <row r="125" spans="1:13" ht="23.25" customHeight="1">
      <c r="A125" s="73"/>
      <c r="B125" s="63"/>
      <c r="C125" s="63"/>
      <c r="D125" s="308"/>
      <c r="E125" s="308"/>
      <c r="F125" s="308"/>
      <c r="G125" s="308"/>
      <c r="H125" s="308"/>
      <c r="I125" s="308"/>
      <c r="J125" s="308"/>
      <c r="K125" s="316"/>
      <c r="L125" s="316"/>
    </row>
    <row r="126" spans="1:13">
      <c r="A126" s="135" t="s">
        <v>807</v>
      </c>
      <c r="B126" s="65"/>
      <c r="C126" s="65"/>
      <c r="D126" s="341">
        <f t="shared" ref="D126:J126" si="46">SUM(D114:D124)</f>
        <v>5.4486513499999996</v>
      </c>
      <c r="E126" s="341">
        <f t="shared" si="46"/>
        <v>5.7210839175000014</v>
      </c>
      <c r="F126" s="341">
        <f t="shared" si="46"/>
        <v>6.0373466133749982</v>
      </c>
      <c r="G126" s="341">
        <f t="shared" si="46"/>
        <v>6.4074889301062496</v>
      </c>
      <c r="H126" s="341">
        <f t="shared" si="46"/>
        <v>6.8494066004699761</v>
      </c>
      <c r="I126" s="341">
        <f t="shared" si="46"/>
        <v>7.3938636045631654</v>
      </c>
      <c r="J126" s="341">
        <f t="shared" si="46"/>
        <v>8.094049009898125</v>
      </c>
      <c r="M126">
        <v>35</v>
      </c>
    </row>
    <row r="127" spans="1:13">
      <c r="A127" s="135" t="s">
        <v>288</v>
      </c>
      <c r="B127" s="135"/>
      <c r="C127" s="135"/>
      <c r="D127" s="341">
        <f t="shared" ref="D127:J127" si="47">D109+D126</f>
        <v>337.43501134999997</v>
      </c>
      <c r="E127" s="341">
        <f t="shared" si="47"/>
        <v>354.11904391750005</v>
      </c>
      <c r="F127" s="341">
        <f t="shared" si="47"/>
        <v>371.83170661337505</v>
      </c>
      <c r="G127" s="341">
        <f t="shared" si="47"/>
        <v>390.40824893010631</v>
      </c>
      <c r="H127" s="341">
        <f t="shared" si="47"/>
        <v>409.85656660047005</v>
      </c>
      <c r="I127" s="341">
        <f t="shared" si="47"/>
        <v>460.55256360456315</v>
      </c>
      <c r="J127" s="341">
        <f t="shared" si="47"/>
        <v>516.07228900989799</v>
      </c>
      <c r="M127">
        <f>+M126*0.8</f>
        <v>28</v>
      </c>
    </row>
    <row r="128" spans="1:13">
      <c r="A128" s="73"/>
      <c r="B128" s="63"/>
      <c r="C128" s="63"/>
      <c r="D128" s="308"/>
      <c r="E128" s="308"/>
      <c r="F128" s="308"/>
      <c r="G128" s="308"/>
      <c r="H128" s="308"/>
      <c r="I128" s="308"/>
      <c r="J128" s="308"/>
    </row>
    <row r="129" spans="1:10">
      <c r="A129" s="135" t="s">
        <v>7</v>
      </c>
      <c r="B129" s="65"/>
      <c r="C129" s="65"/>
      <c r="D129" s="341">
        <f t="shared" ref="D129:J129" si="48">D87-D127+D90-D89</f>
        <v>47.032988650000078</v>
      </c>
      <c r="E129" s="341">
        <f t="shared" si="48"/>
        <v>50.339731082499952</v>
      </c>
      <c r="F129" s="341">
        <f t="shared" si="48"/>
        <v>53.712571719958262</v>
      </c>
      <c r="G129" s="341">
        <f t="shared" si="48"/>
        <v>57.27586456989367</v>
      </c>
      <c r="H129" s="341">
        <f t="shared" si="48"/>
        <v>61.100768199529909</v>
      </c>
      <c r="I129" s="341">
        <f t="shared" si="48"/>
        <v>69.821585962103498</v>
      </c>
      <c r="J129" s="341">
        <f t="shared" si="48"/>
        <v>78.705699671435411</v>
      </c>
    </row>
    <row r="130" spans="1:10">
      <c r="A130" s="559"/>
      <c r="B130" s="80"/>
      <c r="C130" s="80"/>
      <c r="D130" s="75"/>
      <c r="E130" s="75"/>
      <c r="F130" s="75"/>
      <c r="G130" s="75"/>
      <c r="H130" s="75"/>
      <c r="I130" s="75"/>
      <c r="J130" s="75"/>
    </row>
    <row r="131" spans="1:10">
      <c r="A131" s="559"/>
      <c r="B131" s="80"/>
      <c r="C131" s="80"/>
      <c r="D131" s="75"/>
      <c r="E131" s="75"/>
      <c r="F131" s="75"/>
      <c r="G131" s="75"/>
      <c r="H131" s="75"/>
      <c r="I131" s="75"/>
      <c r="J131" s="75"/>
    </row>
    <row r="132" spans="1:10">
      <c r="A132" s="559"/>
      <c r="B132" s="80"/>
      <c r="C132" s="80"/>
      <c r="D132" s="75"/>
      <c r="E132" s="75"/>
      <c r="F132" s="75"/>
      <c r="G132" s="75"/>
      <c r="H132" s="75"/>
      <c r="I132" s="75"/>
      <c r="J132" s="75"/>
    </row>
    <row r="133" spans="1:10" ht="20.25">
      <c r="A133" s="675" t="s">
        <v>808</v>
      </c>
      <c r="B133" s="675"/>
      <c r="C133" s="675"/>
      <c r="D133" s="675"/>
      <c r="E133" s="675"/>
      <c r="F133" s="675"/>
      <c r="G133" s="675"/>
      <c r="H133" s="675"/>
      <c r="I133" s="675"/>
      <c r="J133" s="75"/>
    </row>
    <row r="134" spans="1:10">
      <c r="A134" s="559"/>
      <c r="B134" s="80"/>
      <c r="C134" s="80"/>
      <c r="D134" s="75"/>
      <c r="E134" s="75"/>
      <c r="F134" s="75"/>
      <c r="G134" s="75"/>
      <c r="H134" s="75"/>
      <c r="I134" s="75"/>
      <c r="J134" s="75"/>
    </row>
    <row r="135" spans="1:10" ht="20.25">
      <c r="A135" s="560" t="s">
        <v>686</v>
      </c>
      <c r="B135" s="505"/>
      <c r="C135" s="505"/>
      <c r="D135" s="505"/>
      <c r="E135" s="505"/>
      <c r="F135" s="505"/>
      <c r="G135" s="505"/>
      <c r="H135" s="505"/>
      <c r="I135" s="505"/>
      <c r="J135" s="75"/>
    </row>
    <row r="136" spans="1:10">
      <c r="A136" s="39" t="s">
        <v>673</v>
      </c>
      <c r="B136" s="103" t="s">
        <v>0</v>
      </c>
      <c r="C136" s="103" t="s">
        <v>2</v>
      </c>
      <c r="D136" s="103" t="s">
        <v>3</v>
      </c>
      <c r="E136" s="103" t="s">
        <v>4</v>
      </c>
      <c r="F136" s="103" t="s">
        <v>5</v>
      </c>
      <c r="G136" s="103" t="s">
        <v>6</v>
      </c>
      <c r="H136" s="103" t="s">
        <v>164</v>
      </c>
      <c r="I136" s="103" t="s">
        <v>163</v>
      </c>
    </row>
    <row r="137" spans="1:10">
      <c r="A137" s="561"/>
      <c r="B137" s="286"/>
      <c r="C137" s="287"/>
      <c r="D137" s="365"/>
      <c r="E137" s="365"/>
      <c r="F137" s="365"/>
      <c r="G137" s="365"/>
      <c r="H137" s="365"/>
      <c r="I137" s="365"/>
    </row>
    <row r="138" spans="1:10">
      <c r="A138" s="561"/>
      <c r="B138" s="288" t="str">
        <f>+'Input Sheet'!B96</f>
        <v>Paddy</v>
      </c>
      <c r="C138" s="287"/>
      <c r="D138" s="365"/>
      <c r="E138" s="365"/>
      <c r="F138" s="365"/>
      <c r="G138" s="365"/>
      <c r="H138" s="365"/>
      <c r="I138" s="365"/>
    </row>
    <row r="139" spans="1:10">
      <c r="A139" s="562" t="s">
        <v>168</v>
      </c>
      <c r="B139" s="271" t="str">
        <f>+A40</f>
        <v xml:space="preserve">Rice </v>
      </c>
      <c r="C139" s="332">
        <f>+C178</f>
        <v>644</v>
      </c>
      <c r="D139" s="332">
        <f t="shared" ref="D139:I139" si="49">+D178</f>
        <v>644</v>
      </c>
      <c r="E139" s="332">
        <f t="shared" si="49"/>
        <v>644</v>
      </c>
      <c r="F139" s="332">
        <f t="shared" si="49"/>
        <v>644</v>
      </c>
      <c r="G139" s="332">
        <f t="shared" si="49"/>
        <v>644</v>
      </c>
      <c r="H139" s="332">
        <f t="shared" si="49"/>
        <v>690</v>
      </c>
      <c r="I139" s="332">
        <f t="shared" si="49"/>
        <v>736</v>
      </c>
    </row>
    <row r="140" spans="1:10">
      <c r="A140" s="336"/>
      <c r="B140" s="284" t="s">
        <v>674</v>
      </c>
      <c r="C140" s="290">
        <f t="shared" ref="C140:I140" si="50">+C203</f>
        <v>46000</v>
      </c>
      <c r="D140" s="290">
        <f t="shared" si="50"/>
        <v>48300</v>
      </c>
      <c r="E140" s="290">
        <f t="shared" si="50"/>
        <v>50720</v>
      </c>
      <c r="F140" s="290">
        <f t="shared" si="50"/>
        <v>53260</v>
      </c>
      <c r="G140" s="290">
        <f t="shared" si="50"/>
        <v>55920</v>
      </c>
      <c r="H140" s="290">
        <f t="shared" si="50"/>
        <v>58720</v>
      </c>
      <c r="I140" s="290">
        <f t="shared" si="50"/>
        <v>61660</v>
      </c>
    </row>
    <row r="141" spans="1:10">
      <c r="A141" s="336"/>
      <c r="B141" s="271" t="s">
        <v>675</v>
      </c>
      <c r="C141" s="291">
        <f t="shared" ref="C141:I141" si="51">C139*C140/100000</f>
        <v>296.24</v>
      </c>
      <c r="D141" s="291">
        <f t="shared" si="51"/>
        <v>311.05200000000002</v>
      </c>
      <c r="E141" s="291">
        <f t="shared" si="51"/>
        <v>326.63679999999999</v>
      </c>
      <c r="F141" s="291">
        <f t="shared" si="51"/>
        <v>342.99439999999998</v>
      </c>
      <c r="G141" s="291">
        <f t="shared" si="51"/>
        <v>360.12479999999999</v>
      </c>
      <c r="H141" s="291">
        <f t="shared" si="51"/>
        <v>405.16800000000001</v>
      </c>
      <c r="I141" s="291">
        <f t="shared" si="51"/>
        <v>453.81760000000003</v>
      </c>
    </row>
    <row r="142" spans="1:10">
      <c r="A142" s="336"/>
      <c r="B142" s="271"/>
      <c r="C142" s="291"/>
      <c r="D142" s="291"/>
      <c r="E142" s="291"/>
      <c r="F142" s="291"/>
      <c r="G142" s="291"/>
      <c r="H142" s="291"/>
      <c r="I142" s="291"/>
    </row>
    <row r="143" spans="1:10">
      <c r="A143" s="562" t="s">
        <v>169</v>
      </c>
      <c r="B143" s="271" t="str">
        <f>+A41</f>
        <v xml:space="preserve">Husk </v>
      </c>
      <c r="C143" s="284">
        <f t="shared" ref="C143:I143" si="52">+C186</f>
        <v>257.79166666666669</v>
      </c>
      <c r="D143" s="332">
        <f t="shared" si="52"/>
        <v>257.79166666666663</v>
      </c>
      <c r="E143" s="332">
        <f t="shared" si="52"/>
        <v>257.79166666666669</v>
      </c>
      <c r="F143" s="332">
        <f t="shared" si="52"/>
        <v>257.79166666666669</v>
      </c>
      <c r="G143" s="332">
        <f t="shared" si="52"/>
        <v>257.79166666666663</v>
      </c>
      <c r="H143" s="332">
        <f t="shared" si="52"/>
        <v>276</v>
      </c>
      <c r="I143" s="332">
        <f t="shared" si="52"/>
        <v>294.20833333333337</v>
      </c>
    </row>
    <row r="144" spans="1:10">
      <c r="A144" s="336"/>
      <c r="B144" s="284" t="s">
        <v>674</v>
      </c>
      <c r="C144" s="290">
        <f t="shared" ref="C144:I144" si="53">+C204</f>
        <v>2000</v>
      </c>
      <c r="D144" s="290">
        <f t="shared" si="53"/>
        <v>2100</v>
      </c>
      <c r="E144" s="290">
        <f t="shared" si="53"/>
        <v>2210</v>
      </c>
      <c r="F144" s="290">
        <f t="shared" si="53"/>
        <v>2320</v>
      </c>
      <c r="G144" s="290">
        <f t="shared" si="53"/>
        <v>2440</v>
      </c>
      <c r="H144" s="290">
        <f t="shared" si="53"/>
        <v>2560</v>
      </c>
      <c r="I144" s="290">
        <f t="shared" si="53"/>
        <v>2690</v>
      </c>
    </row>
    <row r="145" spans="1:9">
      <c r="A145" s="336"/>
      <c r="B145" s="271" t="s">
        <v>675</v>
      </c>
      <c r="C145" s="291">
        <f t="shared" ref="C145:I145" si="54">C143*C144/100000</f>
        <v>5.1558333333333337</v>
      </c>
      <c r="D145" s="291">
        <f t="shared" si="54"/>
        <v>5.4136249999999988</v>
      </c>
      <c r="E145" s="291">
        <f t="shared" si="54"/>
        <v>5.6971958333333337</v>
      </c>
      <c r="F145" s="291">
        <f t="shared" si="54"/>
        <v>5.9807666666666677</v>
      </c>
      <c r="G145" s="291">
        <f t="shared" si="54"/>
        <v>6.2901166666666661</v>
      </c>
      <c r="H145" s="291">
        <f t="shared" si="54"/>
        <v>7.0655999999999999</v>
      </c>
      <c r="I145" s="291">
        <f t="shared" si="54"/>
        <v>7.9142041666666678</v>
      </c>
    </row>
    <row r="146" spans="1:9">
      <c r="A146" s="336"/>
      <c r="B146" s="272"/>
      <c r="C146" s="272"/>
      <c r="D146" s="294"/>
      <c r="E146" s="294"/>
      <c r="F146" s="294"/>
      <c r="G146" s="294"/>
      <c r="H146" s="294"/>
      <c r="I146" s="294"/>
    </row>
    <row r="147" spans="1:9">
      <c r="A147" s="562" t="s">
        <v>170</v>
      </c>
      <c r="B147" s="293" t="str">
        <f>+A42</f>
        <v>Boken</v>
      </c>
      <c r="C147" s="284">
        <f t="shared" ref="C147:I147" si="55">+C192</f>
        <v>257.79166666666669</v>
      </c>
      <c r="D147" s="332">
        <f t="shared" si="55"/>
        <v>257.79166666666663</v>
      </c>
      <c r="E147" s="332">
        <f t="shared" si="55"/>
        <v>257.79166666666669</v>
      </c>
      <c r="F147" s="332">
        <f t="shared" si="55"/>
        <v>257.79166666666669</v>
      </c>
      <c r="G147" s="332">
        <f t="shared" si="55"/>
        <v>257.79166666666663</v>
      </c>
      <c r="H147" s="332">
        <f t="shared" si="55"/>
        <v>276</v>
      </c>
      <c r="I147" s="332">
        <f t="shared" si="55"/>
        <v>294.20833333333337</v>
      </c>
    </row>
    <row r="148" spans="1:9">
      <c r="A148" s="336"/>
      <c r="B148" s="284" t="s">
        <v>674</v>
      </c>
      <c r="C148" s="290">
        <f t="shared" ref="C148:I148" si="56">+C205</f>
        <v>16000</v>
      </c>
      <c r="D148" s="290">
        <f t="shared" si="56"/>
        <v>16800</v>
      </c>
      <c r="E148" s="290">
        <f t="shared" si="56"/>
        <v>17640</v>
      </c>
      <c r="F148" s="290">
        <f t="shared" si="56"/>
        <v>18520</v>
      </c>
      <c r="G148" s="290">
        <f t="shared" si="56"/>
        <v>19450</v>
      </c>
      <c r="H148" s="290">
        <f t="shared" si="56"/>
        <v>20420</v>
      </c>
      <c r="I148" s="290">
        <f t="shared" si="56"/>
        <v>21440</v>
      </c>
    </row>
    <row r="149" spans="1:9">
      <c r="A149" s="336"/>
      <c r="B149" s="271" t="s">
        <v>675</v>
      </c>
      <c r="C149" s="291">
        <f t="shared" ref="C149:I149" si="57">C147*C148/100000</f>
        <v>41.24666666666667</v>
      </c>
      <c r="D149" s="291">
        <f t="shared" si="57"/>
        <v>43.30899999999999</v>
      </c>
      <c r="E149" s="291">
        <f t="shared" si="57"/>
        <v>45.474449999999997</v>
      </c>
      <c r="F149" s="291">
        <f t="shared" si="57"/>
        <v>47.743016666666669</v>
      </c>
      <c r="G149" s="291">
        <f t="shared" si="57"/>
        <v>50.140479166666658</v>
      </c>
      <c r="H149" s="291">
        <f t="shared" si="57"/>
        <v>56.359200000000001</v>
      </c>
      <c r="I149" s="291">
        <f t="shared" si="57"/>
        <v>63.078266666666678</v>
      </c>
    </row>
    <row r="150" spans="1:9">
      <c r="A150" s="336"/>
      <c r="B150" s="271"/>
      <c r="C150" s="291"/>
      <c r="D150" s="291"/>
      <c r="E150" s="291"/>
      <c r="F150" s="291"/>
      <c r="G150" s="291"/>
      <c r="H150" s="291"/>
      <c r="I150" s="291"/>
    </row>
    <row r="151" spans="1:9">
      <c r="A151" s="562" t="s">
        <v>170</v>
      </c>
      <c r="B151" s="293" t="str">
        <f>+'Input Sheet'!B113</f>
        <v>Bran</v>
      </c>
      <c r="C151" s="290">
        <f>+C198</f>
        <v>103.5</v>
      </c>
      <c r="D151" s="290">
        <f t="shared" ref="D151:I151" si="58">+D198</f>
        <v>103.5</v>
      </c>
      <c r="E151" s="290">
        <f t="shared" si="58"/>
        <v>103.5</v>
      </c>
      <c r="F151" s="290">
        <f t="shared" si="58"/>
        <v>103.5</v>
      </c>
      <c r="G151" s="290">
        <f t="shared" si="58"/>
        <v>103.5</v>
      </c>
      <c r="H151" s="290">
        <f t="shared" si="58"/>
        <v>110.20833333333333</v>
      </c>
      <c r="I151" s="290">
        <f t="shared" si="58"/>
        <v>117.87499999999999</v>
      </c>
    </row>
    <row r="152" spans="1:9">
      <c r="A152" s="336"/>
      <c r="B152" s="284" t="s">
        <v>674</v>
      </c>
      <c r="C152" s="290">
        <f>+'Input Sheet'!C113</f>
        <v>10000</v>
      </c>
      <c r="D152" s="290">
        <f>+'Input Sheet'!D113</f>
        <v>10500</v>
      </c>
      <c r="E152" s="290">
        <f>+'Input Sheet'!E113</f>
        <v>11030</v>
      </c>
      <c r="F152" s="290">
        <f>+'Input Sheet'!F113</f>
        <v>11580</v>
      </c>
      <c r="G152" s="290">
        <f>+'Input Sheet'!G113</f>
        <v>12160</v>
      </c>
      <c r="H152" s="290">
        <f>+'Input Sheet'!H113</f>
        <v>12770</v>
      </c>
      <c r="I152" s="290">
        <f>+'Input Sheet'!I113</f>
        <v>13410</v>
      </c>
    </row>
    <row r="153" spans="1:9">
      <c r="A153" s="336"/>
      <c r="B153" s="271" t="s">
        <v>675</v>
      </c>
      <c r="C153" s="291">
        <f t="shared" ref="C153:I153" si="59">C151*C152/100000</f>
        <v>10.35</v>
      </c>
      <c r="D153" s="291">
        <f t="shared" si="59"/>
        <v>10.8675</v>
      </c>
      <c r="E153" s="291">
        <f t="shared" si="59"/>
        <v>11.41605</v>
      </c>
      <c r="F153" s="291">
        <f t="shared" si="59"/>
        <v>11.985300000000001</v>
      </c>
      <c r="G153" s="291">
        <f t="shared" si="59"/>
        <v>12.585599999999999</v>
      </c>
      <c r="H153" s="291">
        <f t="shared" si="59"/>
        <v>14.073604166666666</v>
      </c>
      <c r="I153" s="291">
        <f t="shared" si="59"/>
        <v>15.807037499999998</v>
      </c>
    </row>
    <row r="154" spans="1:9" hidden="1">
      <c r="A154" s="562" t="s">
        <v>170</v>
      </c>
      <c r="B154" s="271" t="str">
        <f>+A57</f>
        <v>Waste</v>
      </c>
      <c r="C154" s="284" t="e">
        <f>+#REF!</f>
        <v>#REF!</v>
      </c>
      <c r="D154" s="332" t="e">
        <f>+#REF!</f>
        <v>#REF!</v>
      </c>
      <c r="E154" s="332" t="e">
        <f>+#REF!</f>
        <v>#REF!</v>
      </c>
      <c r="F154" s="332" t="e">
        <f>+#REF!</f>
        <v>#REF!</v>
      </c>
      <c r="G154" s="332" t="e">
        <f>+#REF!</f>
        <v>#REF!</v>
      </c>
      <c r="H154" s="332" t="e">
        <f>+#REF!</f>
        <v>#REF!</v>
      </c>
      <c r="I154" s="332" t="e">
        <f>+#REF!</f>
        <v>#REF!</v>
      </c>
    </row>
    <row r="155" spans="1:9" hidden="1">
      <c r="A155" s="336"/>
      <c r="B155" s="284" t="s">
        <v>674</v>
      </c>
      <c r="C155" s="290" t="e">
        <f>+#REF!</f>
        <v>#REF!</v>
      </c>
      <c r="D155" s="290" t="e">
        <f>+#REF!</f>
        <v>#REF!</v>
      </c>
      <c r="E155" s="290" t="e">
        <f>+#REF!</f>
        <v>#REF!</v>
      </c>
      <c r="F155" s="290" t="e">
        <f>+#REF!</f>
        <v>#REF!</v>
      </c>
      <c r="G155" s="290" t="e">
        <f>+#REF!</f>
        <v>#REF!</v>
      </c>
      <c r="H155" s="290" t="e">
        <f>+#REF!</f>
        <v>#REF!</v>
      </c>
      <c r="I155" s="290" t="e">
        <f>+#REF!</f>
        <v>#REF!</v>
      </c>
    </row>
    <row r="156" spans="1:9" hidden="1">
      <c r="A156" s="336"/>
      <c r="B156" s="271" t="s">
        <v>675</v>
      </c>
      <c r="C156" s="291" t="e">
        <f t="shared" ref="C156:I156" si="60">C154*C155/100000</f>
        <v>#REF!</v>
      </c>
      <c r="D156" s="291" t="e">
        <f t="shared" si="60"/>
        <v>#REF!</v>
      </c>
      <c r="E156" s="291" t="e">
        <f t="shared" si="60"/>
        <v>#REF!</v>
      </c>
      <c r="F156" s="291" t="e">
        <f t="shared" si="60"/>
        <v>#REF!</v>
      </c>
      <c r="G156" s="291" t="e">
        <f t="shared" si="60"/>
        <v>#REF!</v>
      </c>
      <c r="H156" s="291" t="e">
        <f t="shared" si="60"/>
        <v>#REF!</v>
      </c>
      <c r="I156" s="291" t="e">
        <f t="shared" si="60"/>
        <v>#REF!</v>
      </c>
    </row>
    <row r="157" spans="1:9" hidden="1">
      <c r="A157" s="336"/>
      <c r="B157" s="271"/>
      <c r="C157" s="291"/>
      <c r="D157" s="291"/>
      <c r="E157" s="291"/>
      <c r="F157" s="291"/>
      <c r="G157" s="291"/>
      <c r="H157" s="291"/>
      <c r="I157" s="291"/>
    </row>
    <row r="158" spans="1:9" hidden="1">
      <c r="A158" s="561"/>
      <c r="B158" s="288" t="str">
        <f>+'Input Sheet'!B101</f>
        <v>Chilli</v>
      </c>
      <c r="C158" s="287"/>
      <c r="D158" s="365"/>
      <c r="E158" s="365"/>
      <c r="F158" s="365"/>
      <c r="G158" s="365"/>
      <c r="H158" s="365"/>
      <c r="I158" s="365"/>
    </row>
    <row r="159" spans="1:9" hidden="1">
      <c r="A159" s="562" t="s">
        <v>168</v>
      </c>
      <c r="B159" s="271" t="str">
        <f>+A60</f>
        <v>Green Chilli</v>
      </c>
      <c r="C159" s="284">
        <v>0</v>
      </c>
      <c r="D159" s="284">
        <v>0</v>
      </c>
      <c r="E159" s="284">
        <v>0</v>
      </c>
      <c r="F159" s="284">
        <v>0</v>
      </c>
      <c r="G159" s="284">
        <v>0</v>
      </c>
      <c r="H159" s="284">
        <v>0</v>
      </c>
      <c r="I159" s="284">
        <v>0</v>
      </c>
    </row>
    <row r="160" spans="1:9" hidden="1">
      <c r="A160" s="336"/>
      <c r="B160" s="284" t="s">
        <v>674</v>
      </c>
      <c r="C160" s="290" t="e">
        <f>+#REF!</f>
        <v>#REF!</v>
      </c>
      <c r="D160" s="290" t="e">
        <f>+#REF!</f>
        <v>#REF!</v>
      </c>
      <c r="E160" s="290" t="e">
        <f>+#REF!</f>
        <v>#REF!</v>
      </c>
      <c r="F160" s="290" t="e">
        <f>+#REF!</f>
        <v>#REF!</v>
      </c>
      <c r="G160" s="290" t="e">
        <f>+#REF!</f>
        <v>#REF!</v>
      </c>
      <c r="H160" s="290" t="e">
        <f>+#REF!</f>
        <v>#REF!</v>
      </c>
      <c r="I160" s="290" t="e">
        <f>+#REF!</f>
        <v>#REF!</v>
      </c>
    </row>
    <row r="161" spans="1:10" hidden="1">
      <c r="A161" s="336"/>
      <c r="B161" s="271" t="s">
        <v>675</v>
      </c>
      <c r="C161" s="291" t="e">
        <f t="shared" ref="C161:I161" si="61">C159*C160/100000</f>
        <v>#REF!</v>
      </c>
      <c r="D161" s="291" t="e">
        <f t="shared" si="61"/>
        <v>#REF!</v>
      </c>
      <c r="E161" s="291" t="e">
        <f t="shared" si="61"/>
        <v>#REF!</v>
      </c>
      <c r="F161" s="291" t="e">
        <f t="shared" si="61"/>
        <v>#REF!</v>
      </c>
      <c r="G161" s="291" t="e">
        <f t="shared" si="61"/>
        <v>#REF!</v>
      </c>
      <c r="H161" s="291" t="e">
        <f t="shared" si="61"/>
        <v>#REF!</v>
      </c>
      <c r="I161" s="291" t="e">
        <f t="shared" si="61"/>
        <v>#REF!</v>
      </c>
    </row>
    <row r="162" spans="1:10" hidden="1">
      <c r="A162" s="336"/>
      <c r="B162" s="271"/>
      <c r="C162" s="291"/>
      <c r="D162" s="291"/>
      <c r="E162" s="291"/>
      <c r="F162" s="291"/>
      <c r="G162" s="291"/>
      <c r="H162" s="291"/>
      <c r="I162" s="291"/>
    </row>
    <row r="163" spans="1:10" hidden="1">
      <c r="A163" s="548" t="s">
        <v>169</v>
      </c>
      <c r="B163" s="271" t="str">
        <f>+A61</f>
        <v>Red Chilli</v>
      </c>
      <c r="C163" s="284">
        <v>0</v>
      </c>
      <c r="D163" s="284">
        <v>0</v>
      </c>
      <c r="E163" s="284">
        <v>0</v>
      </c>
      <c r="F163" s="284">
        <v>0</v>
      </c>
      <c r="G163" s="284">
        <v>0</v>
      </c>
      <c r="H163" s="284">
        <v>0</v>
      </c>
      <c r="I163" s="284">
        <v>0</v>
      </c>
    </row>
    <row r="164" spans="1:10" hidden="1">
      <c r="A164" s="336"/>
      <c r="B164" s="284" t="s">
        <v>674</v>
      </c>
      <c r="C164" s="290" t="e">
        <f>+#REF!</f>
        <v>#REF!</v>
      </c>
      <c r="D164" s="290" t="e">
        <f>+#REF!</f>
        <v>#REF!</v>
      </c>
      <c r="E164" s="290" t="e">
        <f>+#REF!</f>
        <v>#REF!</v>
      </c>
      <c r="F164" s="290" t="e">
        <f>+#REF!</f>
        <v>#REF!</v>
      </c>
      <c r="G164" s="290" t="e">
        <f>+#REF!</f>
        <v>#REF!</v>
      </c>
      <c r="H164" s="290" t="e">
        <f>+#REF!</f>
        <v>#REF!</v>
      </c>
      <c r="I164" s="290" t="e">
        <f>+#REF!</f>
        <v>#REF!</v>
      </c>
    </row>
    <row r="165" spans="1:10" hidden="1">
      <c r="A165" s="336"/>
      <c r="B165" s="271" t="s">
        <v>675</v>
      </c>
      <c r="C165" s="291" t="e">
        <f t="shared" ref="C165:I165" si="62">C163*C164/100000</f>
        <v>#REF!</v>
      </c>
      <c r="D165" s="291" t="e">
        <f t="shared" si="62"/>
        <v>#REF!</v>
      </c>
      <c r="E165" s="291" t="e">
        <f t="shared" si="62"/>
        <v>#REF!</v>
      </c>
      <c r="F165" s="291" t="e">
        <f t="shared" si="62"/>
        <v>#REF!</v>
      </c>
      <c r="G165" s="291" t="e">
        <f t="shared" si="62"/>
        <v>#REF!</v>
      </c>
      <c r="H165" s="291" t="e">
        <f t="shared" si="62"/>
        <v>#REF!</v>
      </c>
      <c r="I165" s="291" t="e">
        <f t="shared" si="62"/>
        <v>#REF!</v>
      </c>
    </row>
    <row r="166" spans="1:10" hidden="1">
      <c r="A166" s="336"/>
      <c r="B166" s="272"/>
      <c r="C166" s="272"/>
      <c r="D166" s="294"/>
      <c r="E166" s="294"/>
      <c r="F166" s="294"/>
      <c r="G166" s="294"/>
      <c r="H166" s="294"/>
      <c r="I166" s="294"/>
    </row>
    <row r="167" spans="1:10" hidden="1">
      <c r="A167" s="336"/>
      <c r="B167" s="272"/>
      <c r="C167" s="272"/>
      <c r="D167" s="294"/>
      <c r="E167" s="294"/>
      <c r="F167" s="294"/>
      <c r="G167" s="294"/>
      <c r="H167" s="294"/>
      <c r="I167" s="294"/>
    </row>
    <row r="168" spans="1:10">
      <c r="A168" s="336"/>
      <c r="B168" s="272"/>
      <c r="C168" s="272"/>
      <c r="D168" s="294"/>
      <c r="E168" s="294"/>
      <c r="F168" s="294"/>
      <c r="G168" s="294"/>
      <c r="H168" s="294"/>
      <c r="I168" s="294"/>
    </row>
    <row r="169" spans="1:10">
      <c r="A169" s="336"/>
      <c r="B169" s="272"/>
      <c r="C169" s="272"/>
      <c r="D169" s="294"/>
      <c r="E169" s="294"/>
      <c r="F169" s="294"/>
      <c r="G169" s="294"/>
      <c r="H169" s="294"/>
      <c r="I169" s="294"/>
    </row>
    <row r="170" spans="1:10">
      <c r="A170" s="336"/>
      <c r="B170" s="273" t="s">
        <v>677</v>
      </c>
      <c r="C170" s="292">
        <f>+C141+C145+C149+C153</f>
        <v>352.99250000000006</v>
      </c>
      <c r="D170" s="292">
        <f t="shared" ref="D170:I170" si="63">+D141+D145+D149+D153</f>
        <v>370.64212500000002</v>
      </c>
      <c r="E170" s="292">
        <f t="shared" si="63"/>
        <v>389.22449583333332</v>
      </c>
      <c r="F170" s="292">
        <f t="shared" si="63"/>
        <v>408.70348333333334</v>
      </c>
      <c r="G170" s="292">
        <f t="shared" si="63"/>
        <v>429.14099583333331</v>
      </c>
      <c r="H170" s="292">
        <f t="shared" si="63"/>
        <v>482.66640416666667</v>
      </c>
      <c r="I170" s="292">
        <f t="shared" si="63"/>
        <v>540.61710833333336</v>
      </c>
    </row>
    <row r="172" spans="1:10" ht="20.25">
      <c r="A172" s="560" t="s">
        <v>685</v>
      </c>
      <c r="B172" s="295"/>
      <c r="C172" s="295"/>
      <c r="D172" s="366"/>
      <c r="E172" s="366"/>
      <c r="F172" s="366"/>
      <c r="G172" s="366"/>
      <c r="H172" s="366"/>
      <c r="I172" s="366"/>
    </row>
    <row r="173" spans="1:10">
      <c r="A173" s="39" t="s">
        <v>673</v>
      </c>
      <c r="B173" s="103" t="s">
        <v>0</v>
      </c>
      <c r="C173" s="103" t="s">
        <v>2</v>
      </c>
      <c r="D173" s="103" t="s">
        <v>3</v>
      </c>
      <c r="E173" s="103" t="s">
        <v>4</v>
      </c>
      <c r="F173" s="103" t="s">
        <v>5</v>
      </c>
      <c r="G173" s="103" t="s">
        <v>6</v>
      </c>
      <c r="H173" s="103" t="s">
        <v>164</v>
      </c>
      <c r="I173" s="103" t="s">
        <v>163</v>
      </c>
      <c r="J173" s="310">
        <v>3</v>
      </c>
    </row>
    <row r="174" spans="1:10">
      <c r="A174" s="563"/>
      <c r="B174" s="271" t="str">
        <f>+'Input Sheet'!B81</f>
        <v>Finished Goods  -Paddy (MT)</v>
      </c>
      <c r="C174" s="279"/>
      <c r="D174" s="359"/>
      <c r="E174" s="359"/>
      <c r="F174" s="359"/>
      <c r="G174" s="359"/>
      <c r="H174" s="359"/>
      <c r="I174" s="359"/>
    </row>
    <row r="175" spans="1:10">
      <c r="A175" s="562" t="s">
        <v>168</v>
      </c>
      <c r="B175" s="271" t="str">
        <f>+B139</f>
        <v xml:space="preserve">Rice </v>
      </c>
      <c r="C175" s="284"/>
      <c r="D175" s="332"/>
      <c r="E175" s="332"/>
      <c r="F175" s="332"/>
      <c r="G175" s="332"/>
      <c r="H175" s="294"/>
      <c r="I175" s="294"/>
    </row>
    <row r="176" spans="1:10">
      <c r="A176" s="563"/>
      <c r="B176" s="284" t="s">
        <v>678</v>
      </c>
      <c r="C176" s="284">
        <f>0</f>
        <v>0</v>
      </c>
      <c r="D176" s="332">
        <f t="shared" ref="D176" si="64">C179</f>
        <v>28</v>
      </c>
      <c r="E176" s="332">
        <f t="shared" ref="E176" si="65">D179</f>
        <v>56</v>
      </c>
      <c r="F176" s="332">
        <f t="shared" ref="F176" si="66">E179</f>
        <v>84</v>
      </c>
      <c r="G176" s="332">
        <f t="shared" ref="G176" si="67">F179</f>
        <v>112</v>
      </c>
      <c r="H176" s="332">
        <f t="shared" ref="H176" si="68">G179</f>
        <v>140</v>
      </c>
      <c r="I176" s="332">
        <f t="shared" ref="I176" si="69">H179</f>
        <v>170</v>
      </c>
    </row>
    <row r="177" spans="1:9">
      <c r="A177" s="563"/>
      <c r="B177" s="284" t="s">
        <v>679</v>
      </c>
      <c r="C177" s="334">
        <f t="shared" ref="C177:I177" si="70">+B40</f>
        <v>672</v>
      </c>
      <c r="D177" s="334">
        <f t="shared" si="70"/>
        <v>672</v>
      </c>
      <c r="E177" s="334">
        <f t="shared" si="70"/>
        <v>672</v>
      </c>
      <c r="F177" s="334">
        <f t="shared" si="70"/>
        <v>672</v>
      </c>
      <c r="G177" s="334">
        <f t="shared" si="70"/>
        <v>672</v>
      </c>
      <c r="H177" s="334">
        <f t="shared" si="70"/>
        <v>720</v>
      </c>
      <c r="I177" s="334">
        <f t="shared" si="70"/>
        <v>768</v>
      </c>
    </row>
    <row r="178" spans="1:9">
      <c r="A178" s="563"/>
      <c r="B178" s="284" t="s">
        <v>680</v>
      </c>
      <c r="C178" s="290">
        <f t="shared" ref="C178:I178" si="71">C176+C177-C179</f>
        <v>644</v>
      </c>
      <c r="D178" s="290">
        <f t="shared" si="71"/>
        <v>644</v>
      </c>
      <c r="E178" s="290">
        <f t="shared" si="71"/>
        <v>644</v>
      </c>
      <c r="F178" s="290">
        <f t="shared" si="71"/>
        <v>644</v>
      </c>
      <c r="G178" s="290">
        <f t="shared" si="71"/>
        <v>644</v>
      </c>
      <c r="H178" s="290">
        <f t="shared" si="71"/>
        <v>690</v>
      </c>
      <c r="I178" s="290">
        <f t="shared" si="71"/>
        <v>736</v>
      </c>
    </row>
    <row r="179" spans="1:9">
      <c r="A179" s="563"/>
      <c r="B179" s="284" t="s">
        <v>334</v>
      </c>
      <c r="C179" s="332">
        <f>+(C176+C177/'Input Sheet'!$D$92)</f>
        <v>28</v>
      </c>
      <c r="D179" s="332">
        <f>+(D176+D177/'Input Sheet'!$D$92)</f>
        <v>56</v>
      </c>
      <c r="E179" s="332">
        <f>+(E176+E177/'Input Sheet'!$D$92)</f>
        <v>84</v>
      </c>
      <c r="F179" s="332">
        <f>+(F176+F177/'Input Sheet'!$D$92)</f>
        <v>112</v>
      </c>
      <c r="G179" s="332">
        <f>+(G176+G177/'Input Sheet'!$D$92)</f>
        <v>140</v>
      </c>
      <c r="H179" s="332">
        <f>+(H176+H177/'Input Sheet'!$D$92)</f>
        <v>170</v>
      </c>
      <c r="I179" s="332">
        <f>+(I176+I177/'Input Sheet'!$D$92)</f>
        <v>202</v>
      </c>
    </row>
    <row r="180" spans="1:9">
      <c r="A180" s="563"/>
      <c r="B180" s="284"/>
      <c r="C180" s="284"/>
      <c r="D180" s="332"/>
      <c r="E180" s="332"/>
      <c r="F180" s="332"/>
      <c r="G180" s="332"/>
      <c r="H180" s="332"/>
      <c r="I180" s="332"/>
    </row>
    <row r="181" spans="1:9">
      <c r="A181" s="563"/>
      <c r="B181" s="284"/>
      <c r="C181" s="284"/>
      <c r="D181" s="332"/>
      <c r="E181" s="332"/>
      <c r="F181" s="332"/>
      <c r="G181" s="332"/>
      <c r="H181" s="332"/>
      <c r="I181" s="332"/>
    </row>
    <row r="182" spans="1:9">
      <c r="A182" s="336"/>
      <c r="B182" s="272"/>
      <c r="C182" s="272"/>
      <c r="D182" s="294"/>
      <c r="E182" s="294"/>
      <c r="F182" s="294"/>
      <c r="G182" s="294"/>
      <c r="H182" s="294"/>
      <c r="I182" s="294"/>
    </row>
    <row r="183" spans="1:9">
      <c r="A183" s="562" t="s">
        <v>169</v>
      </c>
      <c r="B183" s="273" t="str">
        <f>+B143</f>
        <v xml:space="preserve">Husk </v>
      </c>
      <c r="C183" s="273"/>
      <c r="D183" s="292"/>
      <c r="E183" s="292"/>
      <c r="F183" s="292"/>
      <c r="G183" s="292"/>
      <c r="H183" s="292"/>
      <c r="I183" s="292"/>
    </row>
    <row r="184" spans="1:9">
      <c r="A184" s="336"/>
      <c r="B184" s="284" t="s">
        <v>678</v>
      </c>
      <c r="C184" s="284">
        <f>0</f>
        <v>0</v>
      </c>
      <c r="D184" s="332">
        <f t="shared" ref="D184:I184" si="72">C187</f>
        <v>11.208333333333334</v>
      </c>
      <c r="E184" s="332">
        <f t="shared" si="72"/>
        <v>22.416666666666668</v>
      </c>
      <c r="F184" s="332">
        <f t="shared" si="72"/>
        <v>33.625</v>
      </c>
      <c r="G184" s="332">
        <f t="shared" si="72"/>
        <v>44.833333333333336</v>
      </c>
      <c r="H184" s="332">
        <f t="shared" si="72"/>
        <v>56.041666666666671</v>
      </c>
      <c r="I184" s="332">
        <f t="shared" si="72"/>
        <v>68.041666666666671</v>
      </c>
    </row>
    <row r="185" spans="1:9">
      <c r="A185" s="336"/>
      <c r="B185" s="284" t="s">
        <v>679</v>
      </c>
      <c r="C185" s="532">
        <f t="shared" ref="C185:I185" si="73">+B41</f>
        <v>269</v>
      </c>
      <c r="D185" s="532">
        <f t="shared" si="73"/>
        <v>269</v>
      </c>
      <c r="E185" s="532">
        <f t="shared" si="73"/>
        <v>269</v>
      </c>
      <c r="F185" s="532">
        <f t="shared" si="73"/>
        <v>269</v>
      </c>
      <c r="G185" s="532">
        <f t="shared" si="73"/>
        <v>269</v>
      </c>
      <c r="H185" s="532">
        <f t="shared" si="73"/>
        <v>288</v>
      </c>
      <c r="I185" s="532">
        <f t="shared" si="73"/>
        <v>307</v>
      </c>
    </row>
    <row r="186" spans="1:9">
      <c r="A186" s="336"/>
      <c r="B186" s="284" t="s">
        <v>680</v>
      </c>
      <c r="C186" s="284">
        <f t="shared" ref="C186:I186" si="74">C184+C185-C187</f>
        <v>257.79166666666669</v>
      </c>
      <c r="D186" s="332">
        <f t="shared" si="74"/>
        <v>257.79166666666663</v>
      </c>
      <c r="E186" s="332">
        <f t="shared" si="74"/>
        <v>257.79166666666669</v>
      </c>
      <c r="F186" s="332">
        <f t="shared" si="74"/>
        <v>257.79166666666669</v>
      </c>
      <c r="G186" s="332">
        <f t="shared" si="74"/>
        <v>257.79166666666663</v>
      </c>
      <c r="H186" s="332">
        <f t="shared" si="74"/>
        <v>276</v>
      </c>
      <c r="I186" s="332">
        <f t="shared" si="74"/>
        <v>294.20833333333337</v>
      </c>
    </row>
    <row r="187" spans="1:9">
      <c r="A187" s="336"/>
      <c r="B187" s="284" t="s">
        <v>334</v>
      </c>
      <c r="C187" s="332">
        <f>+(C184+C185/'Input Sheet'!$D$92)</f>
        <v>11.208333333333334</v>
      </c>
      <c r="D187" s="332">
        <f>+(D184+D185/'Input Sheet'!$D$92)</f>
        <v>22.416666666666668</v>
      </c>
      <c r="E187" s="332">
        <f>+(E184+E185/'Input Sheet'!$D$92)</f>
        <v>33.625</v>
      </c>
      <c r="F187" s="332">
        <f>+(F184+F185/'Input Sheet'!$D$92)</f>
        <v>44.833333333333336</v>
      </c>
      <c r="G187" s="332">
        <f>+(G184+G185/'Input Sheet'!$D$92)</f>
        <v>56.041666666666671</v>
      </c>
      <c r="H187" s="332">
        <f>+(H184+H185/'Input Sheet'!$D$92)</f>
        <v>68.041666666666671</v>
      </c>
      <c r="I187" s="332">
        <f>+(I184+I185/'Input Sheet'!$D$92)</f>
        <v>80.833333333333343</v>
      </c>
    </row>
    <row r="188" spans="1:9">
      <c r="A188" s="336"/>
      <c r="B188" s="272"/>
      <c r="C188" s="272"/>
      <c r="D188" s="294"/>
      <c r="E188" s="294"/>
      <c r="F188" s="294"/>
      <c r="G188" s="294"/>
      <c r="H188" s="294"/>
      <c r="I188" s="294"/>
    </row>
    <row r="189" spans="1:9">
      <c r="A189" s="562" t="s">
        <v>170</v>
      </c>
      <c r="B189" s="293" t="str">
        <f>+B147</f>
        <v>Boken</v>
      </c>
      <c r="C189" s="273"/>
      <c r="D189" s="292"/>
      <c r="E189" s="292"/>
      <c r="F189" s="292"/>
      <c r="G189" s="292"/>
      <c r="H189" s="292"/>
      <c r="I189" s="292"/>
    </row>
    <row r="190" spans="1:9">
      <c r="A190" s="336"/>
      <c r="B190" s="284" t="s">
        <v>678</v>
      </c>
      <c r="C190" s="284">
        <f>0</f>
        <v>0</v>
      </c>
      <c r="D190" s="332">
        <f t="shared" ref="D190:I190" si="75">C193</f>
        <v>11.208333333333334</v>
      </c>
      <c r="E190" s="332">
        <f t="shared" si="75"/>
        <v>22.416666666666668</v>
      </c>
      <c r="F190" s="332">
        <f t="shared" si="75"/>
        <v>33.625</v>
      </c>
      <c r="G190" s="332">
        <f t="shared" si="75"/>
        <v>44.833333333333336</v>
      </c>
      <c r="H190" s="332">
        <f t="shared" si="75"/>
        <v>56.041666666666671</v>
      </c>
      <c r="I190" s="332">
        <f t="shared" si="75"/>
        <v>68.041666666666671</v>
      </c>
    </row>
    <row r="191" spans="1:9">
      <c r="A191" s="336"/>
      <c r="B191" s="284" t="s">
        <v>679</v>
      </c>
      <c r="C191" s="285">
        <f t="shared" ref="C191:I191" si="76">+B42</f>
        <v>269</v>
      </c>
      <c r="D191" s="285">
        <f t="shared" si="76"/>
        <v>269</v>
      </c>
      <c r="E191" s="285">
        <f t="shared" si="76"/>
        <v>269</v>
      </c>
      <c r="F191" s="285">
        <f t="shared" si="76"/>
        <v>269</v>
      </c>
      <c r="G191" s="285">
        <f t="shared" si="76"/>
        <v>269</v>
      </c>
      <c r="H191" s="285">
        <f t="shared" si="76"/>
        <v>288</v>
      </c>
      <c r="I191" s="285">
        <f t="shared" si="76"/>
        <v>307</v>
      </c>
    </row>
    <row r="192" spans="1:9">
      <c r="A192" s="336"/>
      <c r="B192" s="284" t="s">
        <v>680</v>
      </c>
      <c r="C192" s="284">
        <f t="shared" ref="C192:I192" si="77">C190+C191-C193</f>
        <v>257.79166666666669</v>
      </c>
      <c r="D192" s="332">
        <f t="shared" si="77"/>
        <v>257.79166666666663</v>
      </c>
      <c r="E192" s="332">
        <f t="shared" si="77"/>
        <v>257.79166666666669</v>
      </c>
      <c r="F192" s="332">
        <f t="shared" si="77"/>
        <v>257.79166666666669</v>
      </c>
      <c r="G192" s="332">
        <f t="shared" si="77"/>
        <v>257.79166666666663</v>
      </c>
      <c r="H192" s="332">
        <f t="shared" si="77"/>
        <v>276</v>
      </c>
      <c r="I192" s="332">
        <f t="shared" si="77"/>
        <v>294.20833333333337</v>
      </c>
    </row>
    <row r="193" spans="1:9">
      <c r="A193" s="336"/>
      <c r="B193" s="284" t="s">
        <v>334</v>
      </c>
      <c r="C193" s="332">
        <f>+(C190+C191/'Input Sheet'!$D$92)</f>
        <v>11.208333333333334</v>
      </c>
      <c r="D193" s="332">
        <f>+(D190+D191/'Input Sheet'!$D$92)</f>
        <v>22.416666666666668</v>
      </c>
      <c r="E193" s="332">
        <f>+(E190+E191/'Input Sheet'!$D$92)</f>
        <v>33.625</v>
      </c>
      <c r="F193" s="332">
        <f>+(F190+F191/'Input Sheet'!$D$92)</f>
        <v>44.833333333333336</v>
      </c>
      <c r="G193" s="332">
        <f>+(G190+G191/'Input Sheet'!$D$92)</f>
        <v>56.041666666666671</v>
      </c>
      <c r="H193" s="332">
        <f>+(H190+H191/'Input Sheet'!$D$92)</f>
        <v>68.041666666666671</v>
      </c>
      <c r="I193" s="332">
        <f>+(I190+I191/'Input Sheet'!$D$92)</f>
        <v>80.833333333333343</v>
      </c>
    </row>
    <row r="194" spans="1:9">
      <c r="A194" s="336"/>
      <c r="B194" s="284"/>
      <c r="C194" s="284"/>
      <c r="D194" s="332"/>
      <c r="E194" s="332"/>
      <c r="F194" s="332"/>
      <c r="G194" s="332"/>
      <c r="H194" s="332"/>
      <c r="I194" s="332"/>
    </row>
    <row r="195" spans="1:9">
      <c r="A195" s="562" t="s">
        <v>171</v>
      </c>
      <c r="B195" s="293" t="str">
        <f>+'Input Sheet'!B32</f>
        <v>Bran</v>
      </c>
      <c r="C195" s="273"/>
      <c r="D195" s="292"/>
      <c r="E195" s="292"/>
      <c r="F195" s="292"/>
      <c r="G195" s="292"/>
      <c r="H195" s="292"/>
      <c r="I195" s="292"/>
    </row>
    <row r="196" spans="1:9">
      <c r="A196" s="336"/>
      <c r="B196" s="284" t="s">
        <v>678</v>
      </c>
      <c r="C196" s="284">
        <f>0</f>
        <v>0</v>
      </c>
      <c r="D196" s="332">
        <f t="shared" ref="D196" si="78">C199</f>
        <v>4.5</v>
      </c>
      <c r="E196" s="332">
        <f t="shared" ref="E196" si="79">D199</f>
        <v>9</v>
      </c>
      <c r="F196" s="332">
        <f t="shared" ref="F196" si="80">E199</f>
        <v>13.5</v>
      </c>
      <c r="G196" s="332">
        <f t="shared" ref="G196" si="81">F199</f>
        <v>18</v>
      </c>
      <c r="H196" s="332">
        <f t="shared" ref="H196" si="82">G199</f>
        <v>22.5</v>
      </c>
      <c r="I196" s="332">
        <f t="shared" ref="I196" si="83">H199</f>
        <v>27.291666666666668</v>
      </c>
    </row>
    <row r="197" spans="1:9">
      <c r="A197" s="336"/>
      <c r="B197" s="284" t="s">
        <v>679</v>
      </c>
      <c r="C197" s="285">
        <f t="shared" ref="C197:I197" si="84">+B43</f>
        <v>108</v>
      </c>
      <c r="D197" s="285">
        <f t="shared" si="84"/>
        <v>108</v>
      </c>
      <c r="E197" s="285">
        <f t="shared" si="84"/>
        <v>108</v>
      </c>
      <c r="F197" s="285">
        <f t="shared" si="84"/>
        <v>108</v>
      </c>
      <c r="G197" s="285">
        <f t="shared" si="84"/>
        <v>108</v>
      </c>
      <c r="H197" s="285">
        <f t="shared" si="84"/>
        <v>115</v>
      </c>
      <c r="I197" s="285">
        <f t="shared" si="84"/>
        <v>123</v>
      </c>
    </row>
    <row r="198" spans="1:9">
      <c r="A198" s="336"/>
      <c r="B198" s="284" t="s">
        <v>680</v>
      </c>
      <c r="C198" s="290">
        <f t="shared" ref="C198:I198" si="85">C196+C197-C199</f>
        <v>103.5</v>
      </c>
      <c r="D198" s="332">
        <f t="shared" si="85"/>
        <v>103.5</v>
      </c>
      <c r="E198" s="332">
        <f t="shared" si="85"/>
        <v>103.5</v>
      </c>
      <c r="F198" s="332">
        <f t="shared" si="85"/>
        <v>103.5</v>
      </c>
      <c r="G198" s="332">
        <f t="shared" si="85"/>
        <v>103.5</v>
      </c>
      <c r="H198" s="332">
        <f t="shared" si="85"/>
        <v>110.20833333333333</v>
      </c>
      <c r="I198" s="332">
        <f t="shared" si="85"/>
        <v>117.87499999999999</v>
      </c>
    </row>
    <row r="199" spans="1:9">
      <c r="A199" s="336"/>
      <c r="B199" s="284" t="s">
        <v>334</v>
      </c>
      <c r="C199" s="332">
        <f>+(C196+C197/'Input Sheet'!$D$92)</f>
        <v>4.5</v>
      </c>
      <c r="D199" s="332">
        <f>+(D196+D197/'Input Sheet'!$D$92)</f>
        <v>9</v>
      </c>
      <c r="E199" s="332">
        <f>+(E196+E197/'Input Sheet'!$D$92)</f>
        <v>13.5</v>
      </c>
      <c r="F199" s="332">
        <f>+(F196+F197/'Input Sheet'!$D$92)</f>
        <v>18</v>
      </c>
      <c r="G199" s="332">
        <f>+(G196+G197/'Input Sheet'!$D$92)</f>
        <v>22.5</v>
      </c>
      <c r="H199" s="332">
        <f>+(H196+H197/'Input Sheet'!$D$92)</f>
        <v>27.291666666666668</v>
      </c>
      <c r="I199" s="332">
        <f>+(I196+I197/'Input Sheet'!$D$92)</f>
        <v>32.416666666666671</v>
      </c>
    </row>
    <row r="200" spans="1:9">
      <c r="A200" s="336"/>
      <c r="B200" s="284"/>
      <c r="C200" s="284"/>
      <c r="D200" s="332"/>
      <c r="E200" s="332"/>
      <c r="F200" s="332"/>
      <c r="G200" s="332"/>
      <c r="H200" s="332"/>
      <c r="I200" s="332"/>
    </row>
    <row r="201" spans="1:9">
      <c r="A201" s="336"/>
      <c r="B201" s="272"/>
      <c r="C201" s="272"/>
      <c r="D201" s="294"/>
      <c r="E201" s="294"/>
      <c r="F201" s="294"/>
      <c r="G201" s="294"/>
      <c r="H201" s="294"/>
      <c r="I201" s="294"/>
    </row>
    <row r="202" spans="1:9">
      <c r="A202" s="336"/>
      <c r="B202" s="271" t="s">
        <v>681</v>
      </c>
      <c r="C202" s="284"/>
      <c r="D202" s="294"/>
      <c r="E202" s="294"/>
      <c r="F202" s="294"/>
      <c r="G202" s="294"/>
      <c r="H202" s="294"/>
      <c r="I202" s="294"/>
    </row>
    <row r="203" spans="1:9">
      <c r="A203" s="563" t="s">
        <v>168</v>
      </c>
      <c r="B203" s="281" t="str">
        <f>+B175</f>
        <v xml:space="preserve">Rice </v>
      </c>
      <c r="C203" s="576">
        <f>+'Input Sheet'!C110</f>
        <v>46000</v>
      </c>
      <c r="D203" s="576">
        <f>+'Input Sheet'!D110</f>
        <v>48300</v>
      </c>
      <c r="E203" s="576">
        <f>+'Input Sheet'!E110</f>
        <v>50720</v>
      </c>
      <c r="F203" s="576">
        <f>+'Input Sheet'!F110</f>
        <v>53260</v>
      </c>
      <c r="G203" s="576">
        <f>+'Input Sheet'!G110</f>
        <v>55920</v>
      </c>
      <c r="H203" s="576">
        <f>+'Input Sheet'!H110</f>
        <v>58720</v>
      </c>
      <c r="I203" s="576">
        <f>+'Input Sheet'!I110</f>
        <v>61660</v>
      </c>
    </row>
    <row r="204" spans="1:9">
      <c r="A204" s="563" t="s">
        <v>169</v>
      </c>
      <c r="B204" s="281" t="str">
        <f>B183</f>
        <v xml:space="preserve">Husk </v>
      </c>
      <c r="C204" s="576">
        <f>+'Input Sheet'!C111</f>
        <v>2000</v>
      </c>
      <c r="D204" s="576">
        <f>+'Input Sheet'!D111</f>
        <v>2100</v>
      </c>
      <c r="E204" s="576">
        <f>+'Input Sheet'!E111</f>
        <v>2210</v>
      </c>
      <c r="F204" s="576">
        <f>+'Input Sheet'!F111</f>
        <v>2320</v>
      </c>
      <c r="G204" s="576">
        <f>+'Input Sheet'!G111</f>
        <v>2440</v>
      </c>
      <c r="H204" s="576">
        <f>+'Input Sheet'!H111</f>
        <v>2560</v>
      </c>
      <c r="I204" s="576">
        <f>+'Input Sheet'!I111</f>
        <v>2690</v>
      </c>
    </row>
    <row r="205" spans="1:9">
      <c r="A205" s="563" t="s">
        <v>170</v>
      </c>
      <c r="B205" s="281" t="str">
        <f>B189</f>
        <v>Boken</v>
      </c>
      <c r="C205" s="576">
        <f>+'Input Sheet'!C112</f>
        <v>16000</v>
      </c>
      <c r="D205" s="576">
        <f>+'Input Sheet'!D112</f>
        <v>16800</v>
      </c>
      <c r="E205" s="576">
        <f>+'Input Sheet'!E112</f>
        <v>17640</v>
      </c>
      <c r="F205" s="576">
        <f>+'Input Sheet'!F112</f>
        <v>18520</v>
      </c>
      <c r="G205" s="576">
        <f>+'Input Sheet'!G112</f>
        <v>19450</v>
      </c>
      <c r="H205" s="576">
        <f>+'Input Sheet'!H112</f>
        <v>20420</v>
      </c>
      <c r="I205" s="576">
        <f>+'Input Sheet'!I112</f>
        <v>21440</v>
      </c>
    </row>
    <row r="206" spans="1:9">
      <c r="A206" s="563" t="s">
        <v>171</v>
      </c>
      <c r="B206" s="281" t="str">
        <f>+'Input Sheet'!B32</f>
        <v>Bran</v>
      </c>
      <c r="C206" s="576">
        <f>+'Input Sheet'!C113</f>
        <v>10000</v>
      </c>
      <c r="D206" s="576">
        <f>+'Input Sheet'!D113</f>
        <v>10500</v>
      </c>
      <c r="E206" s="576">
        <f>+'Input Sheet'!E113</f>
        <v>11030</v>
      </c>
      <c r="F206" s="576">
        <f>+'Input Sheet'!F113</f>
        <v>11580</v>
      </c>
      <c r="G206" s="576">
        <f>+'Input Sheet'!G113</f>
        <v>12160</v>
      </c>
      <c r="H206" s="576">
        <f>+'Input Sheet'!H113</f>
        <v>12770</v>
      </c>
      <c r="I206" s="576">
        <f>+'Input Sheet'!I113</f>
        <v>13410</v>
      </c>
    </row>
    <row r="207" spans="1:9">
      <c r="A207" s="336"/>
      <c r="B207" s="272"/>
      <c r="C207" s="272"/>
      <c r="D207" s="294"/>
      <c r="E207" s="294"/>
      <c r="F207" s="294"/>
      <c r="G207" s="294"/>
      <c r="H207" s="294"/>
      <c r="I207" s="294"/>
    </row>
    <row r="208" spans="1:9">
      <c r="A208" s="548" t="s">
        <v>168</v>
      </c>
      <c r="B208" s="273" t="str">
        <f>B203</f>
        <v xml:space="preserve">Rice </v>
      </c>
      <c r="C208" s="272"/>
      <c r="D208" s="294"/>
      <c r="E208" s="294"/>
      <c r="F208" s="294"/>
      <c r="G208" s="294"/>
      <c r="H208" s="294"/>
      <c r="I208" s="294"/>
    </row>
    <row r="209" spans="1:9">
      <c r="A209" s="336"/>
      <c r="B209" s="284" t="s">
        <v>682</v>
      </c>
      <c r="C209" s="290">
        <v>0</v>
      </c>
      <c r="D209" s="290">
        <f t="shared" ref="D209:I209" si="86">C210</f>
        <v>12.88</v>
      </c>
      <c r="E209" s="290">
        <f t="shared" si="86"/>
        <v>27.047999999999998</v>
      </c>
      <c r="F209" s="290">
        <f t="shared" si="86"/>
        <v>42.604799999999997</v>
      </c>
      <c r="G209" s="290">
        <f t="shared" si="86"/>
        <v>59.651200000000003</v>
      </c>
      <c r="H209" s="290">
        <f t="shared" si="86"/>
        <v>78.287999999999997</v>
      </c>
      <c r="I209" s="290">
        <f t="shared" si="86"/>
        <v>99.823999999999998</v>
      </c>
    </row>
    <row r="210" spans="1:9">
      <c r="A210" s="336"/>
      <c r="B210" s="284" t="s">
        <v>683</v>
      </c>
      <c r="C210" s="290">
        <f>+C179*C203/100000</f>
        <v>12.88</v>
      </c>
      <c r="D210" s="290">
        <f t="shared" ref="D210:I210" si="87">+D179*D203/100000</f>
        <v>27.047999999999998</v>
      </c>
      <c r="E210" s="290">
        <f t="shared" si="87"/>
        <v>42.604799999999997</v>
      </c>
      <c r="F210" s="290">
        <f t="shared" si="87"/>
        <v>59.651200000000003</v>
      </c>
      <c r="G210" s="290">
        <f t="shared" si="87"/>
        <v>78.287999999999997</v>
      </c>
      <c r="H210" s="290">
        <f t="shared" si="87"/>
        <v>99.823999999999998</v>
      </c>
      <c r="I210" s="290">
        <f t="shared" si="87"/>
        <v>124.5532</v>
      </c>
    </row>
    <row r="211" spans="1:9">
      <c r="A211" s="336"/>
      <c r="B211" s="272"/>
      <c r="C211" s="272"/>
      <c r="D211" s="294"/>
      <c r="E211" s="294"/>
      <c r="F211" s="294"/>
      <c r="G211" s="294"/>
      <c r="H211" s="294"/>
      <c r="I211" s="294"/>
    </row>
    <row r="212" spans="1:9">
      <c r="A212" s="548" t="s">
        <v>169</v>
      </c>
      <c r="B212" s="273" t="str">
        <f>B183</f>
        <v xml:space="preserve">Husk </v>
      </c>
      <c r="C212" s="272"/>
      <c r="D212" s="294"/>
      <c r="E212" s="294"/>
      <c r="F212" s="294"/>
      <c r="G212" s="294"/>
      <c r="H212" s="294"/>
      <c r="I212" s="294"/>
    </row>
    <row r="213" spans="1:9">
      <c r="A213" s="336"/>
      <c r="B213" s="284" t="s">
        <v>682</v>
      </c>
      <c r="C213" s="290">
        <v>0</v>
      </c>
      <c r="D213" s="290">
        <f t="shared" ref="D213:I213" si="88">C214</f>
        <v>0.22416666666666668</v>
      </c>
      <c r="E213" s="290">
        <f t="shared" si="88"/>
        <v>0.47075</v>
      </c>
      <c r="F213" s="290">
        <f t="shared" si="88"/>
        <v>0.74311249999999995</v>
      </c>
      <c r="G213" s="290">
        <f t="shared" si="88"/>
        <v>1.0401333333333334</v>
      </c>
      <c r="H213" s="290">
        <f t="shared" si="88"/>
        <v>1.3674166666666669</v>
      </c>
      <c r="I213" s="290">
        <f t="shared" si="88"/>
        <v>1.7418666666666669</v>
      </c>
    </row>
    <row r="214" spans="1:9">
      <c r="A214" s="336"/>
      <c r="B214" s="284" t="s">
        <v>683</v>
      </c>
      <c r="C214" s="290">
        <f t="shared" ref="C214:I214" si="89">C204*C187/100000</f>
        <v>0.22416666666666668</v>
      </c>
      <c r="D214" s="290">
        <f t="shared" si="89"/>
        <v>0.47075</v>
      </c>
      <c r="E214" s="290">
        <f t="shared" si="89"/>
        <v>0.74311249999999995</v>
      </c>
      <c r="F214" s="290">
        <f t="shared" si="89"/>
        <v>1.0401333333333334</v>
      </c>
      <c r="G214" s="290">
        <f t="shared" si="89"/>
        <v>1.3674166666666669</v>
      </c>
      <c r="H214" s="290">
        <f t="shared" si="89"/>
        <v>1.7418666666666669</v>
      </c>
      <c r="I214" s="290">
        <f t="shared" si="89"/>
        <v>2.1744166666666667</v>
      </c>
    </row>
    <row r="215" spans="1:9">
      <c r="A215" s="336"/>
      <c r="B215" s="272"/>
      <c r="C215" s="272"/>
      <c r="D215" s="294"/>
      <c r="E215" s="294"/>
      <c r="F215" s="294"/>
      <c r="G215" s="294"/>
      <c r="H215" s="294"/>
      <c r="I215" s="294"/>
    </row>
    <row r="216" spans="1:9">
      <c r="A216" s="548" t="s">
        <v>170</v>
      </c>
      <c r="B216" s="273" t="str">
        <f>B189</f>
        <v>Boken</v>
      </c>
      <c r="C216" s="272"/>
      <c r="D216" s="294"/>
      <c r="E216" s="294"/>
      <c r="F216" s="294"/>
      <c r="G216" s="294"/>
      <c r="H216" s="294"/>
      <c r="I216" s="294"/>
    </row>
    <row r="217" spans="1:9">
      <c r="A217" s="336"/>
      <c r="B217" s="284" t="s">
        <v>682</v>
      </c>
      <c r="C217" s="290">
        <v>0</v>
      </c>
      <c r="D217" s="290">
        <f t="shared" ref="D217:I217" si="90">C218</f>
        <v>1.7933333333333334</v>
      </c>
      <c r="E217" s="290">
        <f t="shared" si="90"/>
        <v>3.766</v>
      </c>
      <c r="F217" s="290">
        <f t="shared" si="90"/>
        <v>5.9314499999999999</v>
      </c>
      <c r="G217" s="290">
        <f t="shared" si="90"/>
        <v>8.3031333333333333</v>
      </c>
      <c r="H217" s="290">
        <f t="shared" si="90"/>
        <v>10.900104166666667</v>
      </c>
      <c r="I217" s="290">
        <f t="shared" si="90"/>
        <v>13.894108333333335</v>
      </c>
    </row>
    <row r="218" spans="1:9">
      <c r="A218" s="336"/>
      <c r="B218" s="284" t="s">
        <v>683</v>
      </c>
      <c r="C218" s="290">
        <f>C205*C193/100000</f>
        <v>1.7933333333333334</v>
      </c>
      <c r="D218" s="290">
        <f t="shared" ref="D218:I218" si="91">D205*D193/100000</f>
        <v>3.766</v>
      </c>
      <c r="E218" s="290">
        <f t="shared" si="91"/>
        <v>5.9314499999999999</v>
      </c>
      <c r="F218" s="290">
        <f t="shared" si="91"/>
        <v>8.3031333333333333</v>
      </c>
      <c r="G218" s="290">
        <f t="shared" si="91"/>
        <v>10.900104166666667</v>
      </c>
      <c r="H218" s="290">
        <f t="shared" si="91"/>
        <v>13.894108333333335</v>
      </c>
      <c r="I218" s="290">
        <f t="shared" si="91"/>
        <v>17.330666666666669</v>
      </c>
    </row>
    <row r="219" spans="1:9">
      <c r="A219" s="336"/>
      <c r="B219" s="284"/>
      <c r="C219" s="290"/>
      <c r="D219" s="290"/>
      <c r="E219" s="290"/>
      <c r="F219" s="290"/>
      <c r="G219" s="290"/>
      <c r="H219" s="290"/>
      <c r="I219" s="290"/>
    </row>
    <row r="220" spans="1:9">
      <c r="A220" s="336"/>
      <c r="B220" s="535" t="str">
        <f>+'Input Sheet'!B32</f>
        <v>Bran</v>
      </c>
      <c r="C220" s="272"/>
      <c r="D220" s="294"/>
      <c r="E220" s="294"/>
      <c r="F220" s="294"/>
      <c r="G220" s="294"/>
      <c r="H220" s="294"/>
      <c r="I220" s="294"/>
    </row>
    <row r="221" spans="1:9">
      <c r="A221" s="336"/>
      <c r="B221" s="284" t="s">
        <v>682</v>
      </c>
      <c r="C221" s="290">
        <v>0</v>
      </c>
      <c r="D221" s="290">
        <f t="shared" ref="D221" si="92">C222</f>
        <v>0.45</v>
      </c>
      <c r="E221" s="290">
        <f t="shared" ref="E221" si="93">D222</f>
        <v>0.94499999999999995</v>
      </c>
      <c r="F221" s="290">
        <f t="shared" ref="F221" si="94">E222</f>
        <v>1.48905</v>
      </c>
      <c r="G221" s="290">
        <f t="shared" ref="G221" si="95">F222</f>
        <v>2.0844</v>
      </c>
      <c r="H221" s="290">
        <f t="shared" ref="H221" si="96">G222</f>
        <v>2.7360000000000002</v>
      </c>
      <c r="I221" s="290">
        <f t="shared" ref="I221" si="97">H222</f>
        <v>3.4851458333333336</v>
      </c>
    </row>
    <row r="222" spans="1:9">
      <c r="A222" s="336"/>
      <c r="B222" s="284" t="s">
        <v>683</v>
      </c>
      <c r="C222" s="290">
        <f>C206*C199/100000</f>
        <v>0.45</v>
      </c>
      <c r="D222" s="290">
        <f t="shared" ref="D222:I222" si="98">D206*D199/100000</f>
        <v>0.94499999999999995</v>
      </c>
      <c r="E222" s="290">
        <f t="shared" si="98"/>
        <v>1.48905</v>
      </c>
      <c r="F222" s="290">
        <f t="shared" si="98"/>
        <v>2.0844</v>
      </c>
      <c r="G222" s="290">
        <f t="shared" si="98"/>
        <v>2.7360000000000002</v>
      </c>
      <c r="H222" s="290">
        <f t="shared" si="98"/>
        <v>3.4851458333333336</v>
      </c>
      <c r="I222" s="290">
        <f t="shared" si="98"/>
        <v>4.3470750000000002</v>
      </c>
    </row>
    <row r="223" spans="1:9">
      <c r="A223" s="336"/>
      <c r="B223" s="284"/>
      <c r="C223" s="290"/>
      <c r="D223" s="290"/>
      <c r="E223" s="290"/>
      <c r="F223" s="290"/>
      <c r="G223" s="290"/>
      <c r="H223" s="290"/>
      <c r="I223" s="290"/>
    </row>
    <row r="224" spans="1:9">
      <c r="A224" s="336"/>
      <c r="B224" s="284"/>
      <c r="C224" s="290"/>
      <c r="D224" s="290"/>
      <c r="E224" s="290"/>
      <c r="F224" s="290"/>
      <c r="G224" s="290"/>
      <c r="H224" s="290"/>
      <c r="I224" s="290"/>
    </row>
    <row r="225" spans="1:10">
      <c r="A225" s="336"/>
      <c r="B225" s="273" t="s">
        <v>684</v>
      </c>
      <c r="C225" s="272"/>
      <c r="D225" s="294"/>
      <c r="E225" s="294"/>
      <c r="F225" s="294"/>
      <c r="G225" s="294"/>
      <c r="H225" s="294"/>
      <c r="I225" s="294"/>
    </row>
    <row r="226" spans="1:10">
      <c r="A226" s="336"/>
      <c r="B226" s="271" t="s">
        <v>682</v>
      </c>
      <c r="C226" s="291">
        <f>+C209+C213+C217+C221</f>
        <v>0</v>
      </c>
      <c r="D226" s="291">
        <f>+C227</f>
        <v>15.3475</v>
      </c>
      <c r="E226" s="291">
        <f t="shared" ref="E226:I226" si="99">+D227</f>
        <v>32.229749999999996</v>
      </c>
      <c r="F226" s="291">
        <f t="shared" si="99"/>
        <v>50.768412499999997</v>
      </c>
      <c r="G226" s="291">
        <f t="shared" si="99"/>
        <v>71.07886666666667</v>
      </c>
      <c r="H226" s="291">
        <f t="shared" si="99"/>
        <v>93.291520833333337</v>
      </c>
      <c r="I226" s="291">
        <f t="shared" si="99"/>
        <v>118.94512083333333</v>
      </c>
    </row>
    <row r="227" spans="1:10">
      <c r="A227" s="336"/>
      <c r="B227" s="271" t="s">
        <v>683</v>
      </c>
      <c r="C227" s="291">
        <f>+C210+C214+C218+C222</f>
        <v>15.3475</v>
      </c>
      <c r="D227" s="291">
        <f t="shared" ref="D227:I227" si="100">+D210+D214+D218+D222</f>
        <v>32.229749999999996</v>
      </c>
      <c r="E227" s="291">
        <f t="shared" si="100"/>
        <v>50.768412499999997</v>
      </c>
      <c r="F227" s="291">
        <f t="shared" si="100"/>
        <v>71.07886666666667</v>
      </c>
      <c r="G227" s="291">
        <f t="shared" si="100"/>
        <v>93.291520833333337</v>
      </c>
      <c r="H227" s="291">
        <f t="shared" si="100"/>
        <v>118.94512083333333</v>
      </c>
      <c r="I227" s="291">
        <f t="shared" si="100"/>
        <v>148.40535833333334</v>
      </c>
    </row>
    <row r="231" spans="1:10" ht="54" hidden="1">
      <c r="A231" s="564" t="s">
        <v>687</v>
      </c>
      <c r="B231" s="455"/>
      <c r="C231" s="455"/>
      <c r="D231" s="455"/>
      <c r="E231" s="455"/>
      <c r="F231" s="455"/>
      <c r="G231" s="456"/>
      <c r="H231" s="456"/>
    </row>
    <row r="232" spans="1:10" ht="15.75" hidden="1">
      <c r="A232" s="565"/>
      <c r="B232" s="296"/>
      <c r="C232" s="297"/>
      <c r="D232" s="367"/>
      <c r="E232" s="367"/>
      <c r="F232" s="367"/>
      <c r="G232" s="367"/>
      <c r="H232" s="367"/>
    </row>
    <row r="233" spans="1:10" hidden="1">
      <c r="A233" s="281" t="s">
        <v>870</v>
      </c>
      <c r="B233" s="487">
        <f>+'Input Sheet'!C165</f>
        <v>0</v>
      </c>
      <c r="C233" s="299"/>
      <c r="D233" s="368"/>
      <c r="E233" s="368"/>
      <c r="F233" s="368"/>
      <c r="G233" s="368"/>
      <c r="H233" s="368"/>
      <c r="J233" s="310">
        <v>6</v>
      </c>
    </row>
    <row r="234" spans="1:10" hidden="1">
      <c r="A234" s="281" t="s">
        <v>689</v>
      </c>
      <c r="B234" s="487">
        <v>0</v>
      </c>
      <c r="C234" s="299"/>
      <c r="D234" s="368"/>
      <c r="E234" s="368"/>
      <c r="F234" s="368"/>
      <c r="G234" s="368"/>
      <c r="H234" s="368"/>
    </row>
    <row r="235" spans="1:10" hidden="1">
      <c r="A235" s="281" t="s">
        <v>690</v>
      </c>
      <c r="B235" s="487">
        <v>0</v>
      </c>
      <c r="C235" s="299"/>
      <c r="D235" s="368"/>
      <c r="E235" s="368"/>
      <c r="F235" s="368"/>
      <c r="G235" s="368"/>
      <c r="H235" s="368"/>
    </row>
    <row r="236" spans="1:10" hidden="1">
      <c r="A236" s="281" t="s">
        <v>691</v>
      </c>
      <c r="B236" s="298" t="e">
        <f>B233*B235*30/B234</f>
        <v>#DIV/0!</v>
      </c>
      <c r="C236" s="299"/>
      <c r="D236" s="368"/>
      <c r="E236" s="368"/>
      <c r="F236" s="368"/>
      <c r="G236" s="368"/>
      <c r="H236" s="368"/>
    </row>
    <row r="237" spans="1:10" hidden="1">
      <c r="A237" s="281" t="s">
        <v>698</v>
      </c>
      <c r="B237" s="488">
        <f>+'Input Sheet'!C168</f>
        <v>0</v>
      </c>
      <c r="C237" s="299"/>
      <c r="D237" s="368"/>
      <c r="E237" s="368"/>
      <c r="F237" s="368"/>
      <c r="G237" s="368"/>
      <c r="H237" s="368"/>
    </row>
    <row r="238" spans="1:10" ht="30" hidden="1">
      <c r="A238" s="506" t="s">
        <v>867</v>
      </c>
      <c r="B238" s="301" t="e">
        <f>+B236*B237*10/100000</f>
        <v>#DIV/0!</v>
      </c>
      <c r="C238" s="299"/>
      <c r="D238" s="368"/>
      <c r="E238" s="368"/>
      <c r="F238" s="368"/>
      <c r="G238" s="368"/>
      <c r="H238" s="368"/>
    </row>
    <row r="239" spans="1:10" hidden="1">
      <c r="A239" s="281"/>
      <c r="B239" s="489"/>
      <c r="C239" s="490"/>
      <c r="D239" s="368"/>
      <c r="E239" s="368"/>
      <c r="F239" s="368"/>
      <c r="G239" s="368"/>
      <c r="H239" s="368"/>
    </row>
    <row r="240" spans="1:10" hidden="1">
      <c r="A240" s="281"/>
      <c r="B240" s="284"/>
      <c r="C240" s="302"/>
      <c r="D240" s="369"/>
      <c r="E240" s="369"/>
      <c r="F240" s="369"/>
      <c r="G240" s="369"/>
      <c r="H240" s="369"/>
    </row>
    <row r="241" spans="1:11" hidden="1">
      <c r="A241" s="39" t="s">
        <v>0</v>
      </c>
      <c r="B241" s="103" t="s">
        <v>2</v>
      </c>
      <c r="C241" s="103" t="s">
        <v>3</v>
      </c>
      <c r="D241" s="103" t="s">
        <v>4</v>
      </c>
      <c r="E241" s="103" t="s">
        <v>5</v>
      </c>
      <c r="F241" s="103" t="s">
        <v>6</v>
      </c>
      <c r="G241" s="103" t="s">
        <v>164</v>
      </c>
      <c r="H241" s="103" t="s">
        <v>163</v>
      </c>
    </row>
    <row r="242" spans="1:11" hidden="1">
      <c r="A242" s="566" t="s">
        <v>692</v>
      </c>
      <c r="B242" s="303"/>
      <c r="C242" s="303"/>
      <c r="D242" s="303"/>
      <c r="E242" s="303"/>
      <c r="F242" s="303"/>
      <c r="G242" s="303"/>
      <c r="H242" s="303"/>
    </row>
    <row r="243" spans="1:11" hidden="1">
      <c r="A243" s="567" t="s">
        <v>693</v>
      </c>
      <c r="B243" s="303" t="e">
        <f>+$B$238</f>
        <v>#DIV/0!</v>
      </c>
      <c r="C243" s="303" t="e">
        <f>+B243</f>
        <v>#DIV/0!</v>
      </c>
      <c r="D243" s="303" t="e">
        <f t="shared" ref="D243:H243" si="101">+C243</f>
        <v>#DIV/0!</v>
      </c>
      <c r="E243" s="303" t="e">
        <f t="shared" si="101"/>
        <v>#DIV/0!</v>
      </c>
      <c r="F243" s="303" t="e">
        <f t="shared" si="101"/>
        <v>#DIV/0!</v>
      </c>
      <c r="G243" s="303" t="e">
        <f t="shared" si="101"/>
        <v>#DIV/0!</v>
      </c>
      <c r="H243" s="303" t="e">
        <f t="shared" si="101"/>
        <v>#DIV/0!</v>
      </c>
    </row>
    <row r="244" spans="1:11" hidden="1">
      <c r="A244" s="567" t="s">
        <v>292</v>
      </c>
      <c r="B244" s="305">
        <f>+'Input Sheet'!C170</f>
        <v>0.55000000000000004</v>
      </c>
      <c r="C244" s="305">
        <f>+'Input Sheet'!D170</f>
        <v>0.60000000000000009</v>
      </c>
      <c r="D244" s="305">
        <f>+'Input Sheet'!E170</f>
        <v>0.65000000000000013</v>
      </c>
      <c r="E244" s="305">
        <f>+'Input Sheet'!F170</f>
        <v>0.70000000000000018</v>
      </c>
      <c r="F244" s="305">
        <f>+'Input Sheet'!G170</f>
        <v>0.75000000000000022</v>
      </c>
      <c r="G244" s="305">
        <f>+'Input Sheet'!H170</f>
        <v>0.80000000000000027</v>
      </c>
      <c r="H244" s="305">
        <f>+'Input Sheet'!I170</f>
        <v>0.85000000000000031</v>
      </c>
    </row>
    <row r="245" spans="1:11" hidden="1">
      <c r="A245" s="567" t="s">
        <v>694</v>
      </c>
      <c r="B245" s="306" t="e">
        <f t="shared" ref="B245:H245" si="102">+$B$236*B244</f>
        <v>#DIV/0!</v>
      </c>
      <c r="C245" s="306" t="e">
        <f t="shared" si="102"/>
        <v>#DIV/0!</v>
      </c>
      <c r="D245" s="371" t="e">
        <f t="shared" si="102"/>
        <v>#DIV/0!</v>
      </c>
      <c r="E245" s="371" t="e">
        <f t="shared" si="102"/>
        <v>#DIV/0!</v>
      </c>
      <c r="F245" s="371" t="e">
        <f t="shared" si="102"/>
        <v>#DIV/0!</v>
      </c>
      <c r="G245" s="371" t="e">
        <f t="shared" si="102"/>
        <v>#DIV/0!</v>
      </c>
      <c r="H245" s="371" t="e">
        <f t="shared" si="102"/>
        <v>#DIV/0!</v>
      </c>
    </row>
    <row r="246" spans="1:11" hidden="1">
      <c r="A246" s="567" t="s">
        <v>695</v>
      </c>
      <c r="B246" s="306">
        <f t="shared" ref="B246:H246" si="103">+B40+B45+B50+B55+B60</f>
        <v>672</v>
      </c>
      <c r="C246" s="306">
        <f t="shared" si="103"/>
        <v>672</v>
      </c>
      <c r="D246" s="371">
        <f t="shared" si="103"/>
        <v>672</v>
      </c>
      <c r="E246" s="371">
        <f t="shared" si="103"/>
        <v>672</v>
      </c>
      <c r="F246" s="371">
        <f t="shared" si="103"/>
        <v>672</v>
      </c>
      <c r="G246" s="371">
        <f t="shared" si="103"/>
        <v>720</v>
      </c>
      <c r="H246" s="371">
        <f t="shared" si="103"/>
        <v>768</v>
      </c>
    </row>
    <row r="247" spans="1:11" hidden="1">
      <c r="A247" s="567" t="s">
        <v>696</v>
      </c>
      <c r="B247" s="306" t="e">
        <f t="shared" ref="B247:H247" si="104">+B245-B246</f>
        <v>#DIV/0!</v>
      </c>
      <c r="C247" s="306" t="e">
        <f t="shared" si="104"/>
        <v>#DIV/0!</v>
      </c>
      <c r="D247" s="371" t="e">
        <f t="shared" si="104"/>
        <v>#DIV/0!</v>
      </c>
      <c r="E247" s="371" t="e">
        <f t="shared" si="104"/>
        <v>#DIV/0!</v>
      </c>
      <c r="F247" s="371" t="e">
        <f t="shared" si="104"/>
        <v>#DIV/0!</v>
      </c>
      <c r="G247" s="371" t="e">
        <f t="shared" si="104"/>
        <v>#DIV/0!</v>
      </c>
      <c r="H247" s="371" t="e">
        <f t="shared" si="104"/>
        <v>#DIV/0!</v>
      </c>
    </row>
    <row r="248" spans="1:11" hidden="1">
      <c r="A248" s="567"/>
      <c r="B248" s="305"/>
      <c r="C248" s="305"/>
      <c r="D248" s="370"/>
      <c r="E248" s="370"/>
      <c r="F248" s="370"/>
      <c r="G248" s="370"/>
      <c r="H248" s="370"/>
    </row>
    <row r="249" spans="1:11" hidden="1">
      <c r="A249" s="336" t="s">
        <v>697</v>
      </c>
      <c r="B249" s="307" t="e">
        <f t="shared" ref="B249:H249" si="105">+B243*B247/$B$236</f>
        <v>#DIV/0!</v>
      </c>
      <c r="C249" s="307" t="e">
        <f t="shared" si="105"/>
        <v>#DIV/0!</v>
      </c>
      <c r="D249" s="307" t="e">
        <f t="shared" si="105"/>
        <v>#DIV/0!</v>
      </c>
      <c r="E249" s="307" t="e">
        <f t="shared" si="105"/>
        <v>#DIV/0!</v>
      </c>
      <c r="F249" s="307" t="e">
        <f t="shared" si="105"/>
        <v>#DIV/0!</v>
      </c>
      <c r="G249" s="307" t="e">
        <f t="shared" si="105"/>
        <v>#DIV/0!</v>
      </c>
      <c r="H249" s="307" t="e">
        <f t="shared" si="105"/>
        <v>#DIV/0!</v>
      </c>
    </row>
    <row r="250" spans="1:11" hidden="1">
      <c r="A250" s="567"/>
      <c r="B250" s="307"/>
      <c r="C250" s="307"/>
      <c r="D250" s="307"/>
      <c r="E250" s="307"/>
      <c r="F250" s="307"/>
      <c r="G250" s="307"/>
      <c r="H250" s="307"/>
    </row>
    <row r="251" spans="1:11" hidden="1">
      <c r="A251" s="566" t="s">
        <v>8</v>
      </c>
      <c r="B251" s="283" t="e">
        <f t="shared" ref="B251:H251" si="106">SUM(B249:B250)</f>
        <v>#DIV/0!</v>
      </c>
      <c r="C251" s="283" t="e">
        <f t="shared" si="106"/>
        <v>#DIV/0!</v>
      </c>
      <c r="D251" s="283" t="e">
        <f t="shared" si="106"/>
        <v>#DIV/0!</v>
      </c>
      <c r="E251" s="283" t="e">
        <f t="shared" si="106"/>
        <v>#DIV/0!</v>
      </c>
      <c r="F251" s="283" t="e">
        <f t="shared" si="106"/>
        <v>#DIV/0!</v>
      </c>
      <c r="G251" s="283" t="e">
        <f t="shared" si="106"/>
        <v>#DIV/0!</v>
      </c>
      <c r="H251" s="283" t="e">
        <f t="shared" si="106"/>
        <v>#DIV/0!</v>
      </c>
    </row>
    <row r="255" spans="1:11" ht="28.5">
      <c r="A255" s="568" t="s">
        <v>752</v>
      </c>
    </row>
    <row r="256" spans="1:11">
      <c r="A256" s="569" t="s">
        <v>0</v>
      </c>
      <c r="B256" s="458" t="s">
        <v>2</v>
      </c>
      <c r="C256" s="458" t="s">
        <v>3</v>
      </c>
      <c r="D256" s="459" t="s">
        <v>4</v>
      </c>
      <c r="E256" s="459" t="s">
        <v>5</v>
      </c>
      <c r="F256" s="459" t="s">
        <v>6</v>
      </c>
      <c r="G256" s="459" t="s">
        <v>164</v>
      </c>
      <c r="H256" s="459" t="s">
        <v>163</v>
      </c>
      <c r="I256" s="460"/>
      <c r="J256" s="372">
        <v>2</v>
      </c>
      <c r="K256" s="344"/>
    </row>
    <row r="257" spans="1:11">
      <c r="A257" s="506"/>
      <c r="B257" s="279"/>
      <c r="C257" s="279"/>
      <c r="D257" s="359"/>
      <c r="E257" s="359"/>
      <c r="F257" s="359"/>
      <c r="G257" s="359"/>
      <c r="H257" s="359"/>
    </row>
    <row r="258" spans="1:11">
      <c r="A258" s="281" t="str">
        <f>+A290</f>
        <v>Paddy</v>
      </c>
      <c r="B258" s="285">
        <f t="shared" ref="B258:H258" si="107">+B292</f>
        <v>1360</v>
      </c>
      <c r="C258" s="285">
        <f t="shared" si="107"/>
        <v>1344</v>
      </c>
      <c r="D258" s="332">
        <f t="shared" si="107"/>
        <v>1344</v>
      </c>
      <c r="E258" s="332">
        <f t="shared" si="107"/>
        <v>1344</v>
      </c>
      <c r="F258" s="332">
        <f t="shared" si="107"/>
        <v>1344</v>
      </c>
      <c r="G258" s="332">
        <f t="shared" si="107"/>
        <v>1440</v>
      </c>
      <c r="H258" s="332">
        <f t="shared" si="107"/>
        <v>1536</v>
      </c>
      <c r="I258" s="368"/>
      <c r="J258" s="368"/>
      <c r="K258" s="345"/>
    </row>
    <row r="259" spans="1:11">
      <c r="A259" s="281" t="s">
        <v>749</v>
      </c>
      <c r="B259" s="290">
        <f t="shared" ref="B259:H259" si="108">+B297</f>
        <v>22800</v>
      </c>
      <c r="C259" s="290">
        <f t="shared" si="108"/>
        <v>23940</v>
      </c>
      <c r="D259" s="290">
        <f t="shared" si="108"/>
        <v>25140</v>
      </c>
      <c r="E259" s="290">
        <f t="shared" si="108"/>
        <v>26400</v>
      </c>
      <c r="F259" s="290">
        <f t="shared" si="108"/>
        <v>27720</v>
      </c>
      <c r="G259" s="290">
        <f t="shared" si="108"/>
        <v>29110</v>
      </c>
      <c r="H259" s="290">
        <f t="shared" si="108"/>
        <v>30570</v>
      </c>
      <c r="I259" s="346"/>
      <c r="J259" s="346"/>
      <c r="K259" s="346"/>
    </row>
    <row r="260" spans="1:11">
      <c r="A260" s="281"/>
      <c r="B260" s="290"/>
      <c r="C260" s="290"/>
      <c r="D260" s="290"/>
      <c r="E260" s="290"/>
      <c r="F260" s="290"/>
      <c r="G260" s="290"/>
      <c r="H260" s="290"/>
      <c r="I260" s="346"/>
      <c r="J260" s="346"/>
      <c r="K260" s="346"/>
    </row>
    <row r="261" spans="1:11">
      <c r="A261" s="281" t="s">
        <v>750</v>
      </c>
      <c r="B261" s="290">
        <f t="shared" ref="B261:H261" si="109">+ROUND(B258*B259/100000,2)</f>
        <v>310.08</v>
      </c>
      <c r="C261" s="290">
        <f t="shared" si="109"/>
        <v>321.75</v>
      </c>
      <c r="D261" s="290">
        <f t="shared" si="109"/>
        <v>337.88</v>
      </c>
      <c r="E261" s="290">
        <f t="shared" si="109"/>
        <v>354.82</v>
      </c>
      <c r="F261" s="290">
        <f t="shared" si="109"/>
        <v>372.56</v>
      </c>
      <c r="G261" s="290">
        <f t="shared" si="109"/>
        <v>419.18</v>
      </c>
      <c r="H261" s="290">
        <f t="shared" si="109"/>
        <v>469.56</v>
      </c>
      <c r="I261" s="346"/>
      <c r="J261" s="346"/>
      <c r="K261" s="346"/>
    </row>
    <row r="262" spans="1:11">
      <c r="A262" s="281"/>
      <c r="B262" s="290"/>
      <c r="C262" s="290"/>
      <c r="D262" s="290"/>
      <c r="E262" s="290"/>
      <c r="F262" s="290"/>
      <c r="G262" s="290"/>
      <c r="H262" s="290"/>
      <c r="I262" s="346"/>
      <c r="J262" s="346"/>
      <c r="K262" s="346"/>
    </row>
    <row r="263" spans="1:11" hidden="1">
      <c r="A263" s="281" t="str">
        <f>+A303</f>
        <v>Moong</v>
      </c>
      <c r="B263" s="285">
        <f t="shared" ref="B263:H263" si="110">+B305</f>
        <v>0</v>
      </c>
      <c r="C263" s="285">
        <f t="shared" si="110"/>
        <v>0</v>
      </c>
      <c r="D263" s="332">
        <f t="shared" si="110"/>
        <v>0</v>
      </c>
      <c r="E263" s="332">
        <f t="shared" si="110"/>
        <v>0</v>
      </c>
      <c r="F263" s="332">
        <f t="shared" si="110"/>
        <v>0</v>
      </c>
      <c r="G263" s="332">
        <f t="shared" si="110"/>
        <v>0</v>
      </c>
      <c r="H263" s="332">
        <f t="shared" si="110"/>
        <v>0</v>
      </c>
      <c r="I263" s="368"/>
      <c r="J263" s="368"/>
      <c r="K263" s="347"/>
    </row>
    <row r="264" spans="1:11" hidden="1">
      <c r="A264" s="281" t="s">
        <v>749</v>
      </c>
      <c r="B264" s="290">
        <f t="shared" ref="B264:H264" si="111">+B310</f>
        <v>0</v>
      </c>
      <c r="C264" s="290">
        <f t="shared" si="111"/>
        <v>0</v>
      </c>
      <c r="D264" s="290">
        <f t="shared" si="111"/>
        <v>0</v>
      </c>
      <c r="E264" s="290">
        <f t="shared" si="111"/>
        <v>0</v>
      </c>
      <c r="F264" s="290">
        <f t="shared" si="111"/>
        <v>0</v>
      </c>
      <c r="G264" s="290">
        <f t="shared" si="111"/>
        <v>0</v>
      </c>
      <c r="H264" s="290">
        <f t="shared" si="111"/>
        <v>0</v>
      </c>
      <c r="I264" s="346"/>
      <c r="J264" s="346"/>
      <c r="K264" s="346"/>
    </row>
    <row r="265" spans="1:11" hidden="1">
      <c r="A265" s="281"/>
      <c r="B265" s="290"/>
      <c r="C265" s="290"/>
      <c r="D265" s="290"/>
      <c r="E265" s="290"/>
      <c r="F265" s="290"/>
      <c r="G265" s="290"/>
      <c r="H265" s="290"/>
      <c r="I265" s="346"/>
      <c r="J265" s="346"/>
      <c r="K265" s="346"/>
    </row>
    <row r="266" spans="1:11" hidden="1">
      <c r="A266" s="281" t="s">
        <v>750</v>
      </c>
      <c r="B266" s="290">
        <f t="shared" ref="B266:H266" si="112">+ROUND(B263*B264/100000,2)</f>
        <v>0</v>
      </c>
      <c r="C266" s="290">
        <f t="shared" si="112"/>
        <v>0</v>
      </c>
      <c r="D266" s="290">
        <f t="shared" si="112"/>
        <v>0</v>
      </c>
      <c r="E266" s="290">
        <f t="shared" si="112"/>
        <v>0</v>
      </c>
      <c r="F266" s="290">
        <f t="shared" si="112"/>
        <v>0</v>
      </c>
      <c r="G266" s="290">
        <f t="shared" si="112"/>
        <v>0</v>
      </c>
      <c r="H266" s="290">
        <f t="shared" si="112"/>
        <v>0</v>
      </c>
      <c r="I266" s="346"/>
      <c r="J266" s="346"/>
      <c r="K266" s="346"/>
    </row>
    <row r="267" spans="1:11" hidden="1">
      <c r="A267" s="281"/>
      <c r="B267" s="290"/>
      <c r="C267" s="290"/>
      <c r="D267" s="290"/>
      <c r="E267" s="290"/>
      <c r="F267" s="290"/>
      <c r="G267" s="290"/>
      <c r="H267" s="290"/>
      <c r="I267" s="346"/>
      <c r="J267" s="346"/>
      <c r="K267" s="346"/>
    </row>
    <row r="268" spans="1:11" hidden="1">
      <c r="A268" s="281" t="str">
        <f>+A315</f>
        <v>Udad</v>
      </c>
      <c r="B268" s="285">
        <f t="shared" ref="B268:H268" si="113">+B317</f>
        <v>0</v>
      </c>
      <c r="C268" s="285">
        <f t="shared" si="113"/>
        <v>0</v>
      </c>
      <c r="D268" s="332">
        <f t="shared" si="113"/>
        <v>0</v>
      </c>
      <c r="E268" s="332">
        <f t="shared" si="113"/>
        <v>0</v>
      </c>
      <c r="F268" s="332">
        <f t="shared" si="113"/>
        <v>0</v>
      </c>
      <c r="G268" s="332">
        <f t="shared" si="113"/>
        <v>0</v>
      </c>
      <c r="H268" s="332">
        <f t="shared" si="113"/>
        <v>0</v>
      </c>
      <c r="I268" s="368"/>
      <c r="J268" s="368"/>
      <c r="K268" s="347"/>
    </row>
    <row r="269" spans="1:11" hidden="1">
      <c r="A269" s="281" t="s">
        <v>749</v>
      </c>
      <c r="B269" s="290">
        <f t="shared" ref="B269:H269" si="114">+B322</f>
        <v>0</v>
      </c>
      <c r="C269" s="290">
        <f t="shared" si="114"/>
        <v>0</v>
      </c>
      <c r="D269" s="290">
        <f t="shared" si="114"/>
        <v>0</v>
      </c>
      <c r="E269" s="290">
        <f t="shared" si="114"/>
        <v>0</v>
      </c>
      <c r="F269" s="290">
        <f t="shared" si="114"/>
        <v>0</v>
      </c>
      <c r="G269" s="290">
        <f t="shared" si="114"/>
        <v>0</v>
      </c>
      <c r="H269" s="290">
        <f t="shared" si="114"/>
        <v>0</v>
      </c>
      <c r="I269" s="346"/>
      <c r="J269" s="346"/>
      <c r="K269" s="346"/>
    </row>
    <row r="270" spans="1:11" hidden="1">
      <c r="A270" s="281"/>
      <c r="B270" s="290"/>
      <c r="C270" s="290"/>
      <c r="D270" s="290"/>
      <c r="E270" s="290"/>
      <c r="F270" s="290"/>
      <c r="G270" s="290"/>
      <c r="H270" s="290"/>
      <c r="I270" s="346"/>
      <c r="J270" s="346"/>
      <c r="K270" s="346"/>
    </row>
    <row r="271" spans="1:11" hidden="1">
      <c r="A271" s="281" t="s">
        <v>750</v>
      </c>
      <c r="B271" s="290">
        <f t="shared" ref="B271:H271" si="115">+ROUND(B268*B269/100000,2)</f>
        <v>0</v>
      </c>
      <c r="C271" s="290">
        <f t="shared" si="115"/>
        <v>0</v>
      </c>
      <c r="D271" s="290">
        <f t="shared" si="115"/>
        <v>0</v>
      </c>
      <c r="E271" s="290">
        <f t="shared" si="115"/>
        <v>0</v>
      </c>
      <c r="F271" s="290">
        <f t="shared" si="115"/>
        <v>0</v>
      </c>
      <c r="G271" s="290">
        <f t="shared" si="115"/>
        <v>0</v>
      </c>
      <c r="H271" s="290">
        <f t="shared" si="115"/>
        <v>0</v>
      </c>
      <c r="I271" s="346"/>
      <c r="J271" s="346"/>
      <c r="K271" s="346"/>
    </row>
    <row r="272" spans="1:11" hidden="1">
      <c r="A272" s="281"/>
      <c r="B272" s="290"/>
      <c r="C272" s="290"/>
      <c r="D272" s="290"/>
      <c r="E272" s="290"/>
      <c r="F272" s="290"/>
      <c r="G272" s="290"/>
      <c r="H272" s="290"/>
      <c r="I272" s="346"/>
      <c r="J272" s="346"/>
      <c r="K272" s="346"/>
    </row>
    <row r="273" spans="1:11" hidden="1">
      <c r="A273" s="281" t="str">
        <f>+A327</f>
        <v>Tur</v>
      </c>
      <c r="B273" s="285">
        <f t="shared" ref="B273:H273" si="116">+B329</f>
        <v>0</v>
      </c>
      <c r="C273" s="285">
        <f t="shared" si="116"/>
        <v>0</v>
      </c>
      <c r="D273" s="332">
        <f t="shared" si="116"/>
        <v>0</v>
      </c>
      <c r="E273" s="332">
        <f t="shared" si="116"/>
        <v>0</v>
      </c>
      <c r="F273" s="332">
        <f t="shared" si="116"/>
        <v>0</v>
      </c>
      <c r="G273" s="332">
        <f t="shared" si="116"/>
        <v>0</v>
      </c>
      <c r="H273" s="332">
        <f t="shared" si="116"/>
        <v>0</v>
      </c>
      <c r="I273" s="368"/>
      <c r="J273" s="368"/>
      <c r="K273" s="347"/>
    </row>
    <row r="274" spans="1:11" hidden="1">
      <c r="A274" s="281" t="s">
        <v>749</v>
      </c>
      <c r="B274" s="290">
        <f t="shared" ref="B274:H274" si="117">+B334</f>
        <v>0</v>
      </c>
      <c r="C274" s="290">
        <f t="shared" si="117"/>
        <v>0</v>
      </c>
      <c r="D274" s="290">
        <f t="shared" si="117"/>
        <v>0</v>
      </c>
      <c r="E274" s="290">
        <f t="shared" si="117"/>
        <v>0</v>
      </c>
      <c r="F274" s="290">
        <f t="shared" si="117"/>
        <v>0</v>
      </c>
      <c r="G274" s="290">
        <f t="shared" si="117"/>
        <v>0</v>
      </c>
      <c r="H274" s="290">
        <f t="shared" si="117"/>
        <v>0</v>
      </c>
      <c r="I274" s="346"/>
      <c r="J274" s="346"/>
      <c r="K274" s="346"/>
    </row>
    <row r="275" spans="1:11" hidden="1">
      <c r="A275" s="281"/>
      <c r="B275" s="290"/>
      <c r="C275" s="290"/>
      <c r="D275" s="290"/>
      <c r="E275" s="290"/>
      <c r="F275" s="290"/>
      <c r="G275" s="290"/>
      <c r="H275" s="290"/>
      <c r="I275" s="346"/>
      <c r="J275" s="346"/>
      <c r="K275" s="346"/>
    </row>
    <row r="276" spans="1:11" hidden="1">
      <c r="A276" s="281" t="s">
        <v>750</v>
      </c>
      <c r="B276" s="290">
        <f t="shared" ref="B276:H276" si="118">+ROUND(B273*B274/100000,2)</f>
        <v>0</v>
      </c>
      <c r="C276" s="290">
        <f t="shared" si="118"/>
        <v>0</v>
      </c>
      <c r="D276" s="290">
        <f t="shared" si="118"/>
        <v>0</v>
      </c>
      <c r="E276" s="290">
        <f t="shared" si="118"/>
        <v>0</v>
      </c>
      <c r="F276" s="290">
        <f t="shared" si="118"/>
        <v>0</v>
      </c>
      <c r="G276" s="290">
        <f t="shared" si="118"/>
        <v>0</v>
      </c>
      <c r="H276" s="290">
        <f t="shared" si="118"/>
        <v>0</v>
      </c>
      <c r="I276" s="346"/>
      <c r="J276" s="346"/>
      <c r="K276" s="346"/>
    </row>
    <row r="277" spans="1:11">
      <c r="A277" s="281"/>
      <c r="B277" s="290"/>
      <c r="C277" s="290"/>
      <c r="D277" s="290"/>
      <c r="E277" s="290"/>
      <c r="F277" s="290"/>
      <c r="G277" s="290"/>
      <c r="H277" s="290"/>
      <c r="I277" s="346"/>
      <c r="J277" s="346"/>
      <c r="K277" s="346"/>
    </row>
    <row r="278" spans="1:11" hidden="1">
      <c r="A278" s="281" t="str">
        <f>+A339</f>
        <v>Chilli</v>
      </c>
      <c r="B278" s="285">
        <f t="shared" ref="B278:H278" si="119">+B341</f>
        <v>0</v>
      </c>
      <c r="C278" s="285">
        <f t="shared" si="119"/>
        <v>0</v>
      </c>
      <c r="D278" s="332">
        <f t="shared" si="119"/>
        <v>0</v>
      </c>
      <c r="E278" s="332">
        <f t="shared" si="119"/>
        <v>0</v>
      </c>
      <c r="F278" s="332">
        <f t="shared" si="119"/>
        <v>0</v>
      </c>
      <c r="G278" s="332">
        <f t="shared" si="119"/>
        <v>0</v>
      </c>
      <c r="H278" s="332">
        <f t="shared" si="119"/>
        <v>0</v>
      </c>
      <c r="I278" s="368"/>
      <c r="J278" s="368"/>
      <c r="K278" s="347"/>
    </row>
    <row r="279" spans="1:11" hidden="1">
      <c r="A279" s="281" t="s">
        <v>749</v>
      </c>
      <c r="B279" s="290">
        <f t="shared" ref="B279:H279" si="120">+B346</f>
        <v>0</v>
      </c>
      <c r="C279" s="290">
        <f t="shared" si="120"/>
        <v>0</v>
      </c>
      <c r="D279" s="290">
        <f t="shared" si="120"/>
        <v>0</v>
      </c>
      <c r="E279" s="290">
        <f t="shared" si="120"/>
        <v>0</v>
      </c>
      <c r="F279" s="290">
        <f t="shared" si="120"/>
        <v>0</v>
      </c>
      <c r="G279" s="290">
        <f t="shared" si="120"/>
        <v>0</v>
      </c>
      <c r="H279" s="290">
        <f t="shared" si="120"/>
        <v>0</v>
      </c>
      <c r="I279" s="346"/>
      <c r="J279" s="346"/>
      <c r="K279" s="346"/>
    </row>
    <row r="280" spans="1:11" hidden="1">
      <c r="A280" s="281"/>
      <c r="B280" s="290"/>
      <c r="C280" s="290"/>
      <c r="D280" s="290"/>
      <c r="E280" s="290"/>
      <c r="F280" s="290"/>
      <c r="G280" s="290"/>
      <c r="H280" s="290"/>
      <c r="I280" s="346"/>
      <c r="J280" s="346"/>
      <c r="K280" s="346"/>
    </row>
    <row r="281" spans="1:11" hidden="1">
      <c r="A281" s="281" t="s">
        <v>750</v>
      </c>
      <c r="B281" s="290">
        <f t="shared" ref="B281:H281" si="121">+ROUND(B278*B279/100000,2)</f>
        <v>0</v>
      </c>
      <c r="C281" s="290">
        <f t="shared" si="121"/>
        <v>0</v>
      </c>
      <c r="D281" s="290">
        <f t="shared" si="121"/>
        <v>0</v>
      </c>
      <c r="E281" s="290">
        <f t="shared" si="121"/>
        <v>0</v>
      </c>
      <c r="F281" s="290">
        <f t="shared" si="121"/>
        <v>0</v>
      </c>
      <c r="G281" s="290">
        <f t="shared" si="121"/>
        <v>0</v>
      </c>
      <c r="H281" s="290">
        <f t="shared" si="121"/>
        <v>0</v>
      </c>
      <c r="I281" s="346"/>
      <c r="J281" s="346"/>
      <c r="K281" s="346"/>
    </row>
    <row r="282" spans="1:11" hidden="1">
      <c r="A282" s="281"/>
      <c r="B282" s="290"/>
      <c r="C282" s="290"/>
      <c r="D282" s="290"/>
      <c r="E282" s="290"/>
      <c r="F282" s="290"/>
      <c r="G282" s="364"/>
      <c r="H282" s="364"/>
    </row>
    <row r="283" spans="1:11">
      <c r="A283" s="506" t="s">
        <v>751</v>
      </c>
      <c r="B283" s="291">
        <f t="shared" ref="B283:H283" si="122">+B261+B266+B271+B276+B281</f>
        <v>310.08</v>
      </c>
      <c r="C283" s="291">
        <f t="shared" si="122"/>
        <v>321.75</v>
      </c>
      <c r="D283" s="291">
        <f t="shared" si="122"/>
        <v>337.88</v>
      </c>
      <c r="E283" s="291">
        <f t="shared" si="122"/>
        <v>354.82</v>
      </c>
      <c r="F283" s="291">
        <f t="shared" si="122"/>
        <v>372.56</v>
      </c>
      <c r="G283" s="291">
        <f t="shared" si="122"/>
        <v>419.18</v>
      </c>
      <c r="H283" s="291">
        <f t="shared" si="122"/>
        <v>469.56</v>
      </c>
      <c r="I283" s="348"/>
      <c r="J283" s="348"/>
      <c r="K283" s="348"/>
    </row>
    <row r="287" spans="1:11" ht="26.25">
      <c r="A287" s="570" t="s">
        <v>761</v>
      </c>
    </row>
    <row r="288" spans="1:11">
      <c r="A288" s="569" t="s">
        <v>0</v>
      </c>
      <c r="B288" s="458" t="s">
        <v>2</v>
      </c>
      <c r="C288" s="458" t="s">
        <v>3</v>
      </c>
      <c r="D288" s="459" t="s">
        <v>4</v>
      </c>
      <c r="E288" s="459" t="s">
        <v>5</v>
      </c>
      <c r="F288" s="459" t="s">
        <v>6</v>
      </c>
      <c r="G288" s="459" t="s">
        <v>164</v>
      </c>
      <c r="H288" s="459" t="s">
        <v>163</v>
      </c>
      <c r="I288" s="373"/>
      <c r="J288" s="520"/>
      <c r="K288" s="351"/>
    </row>
    <row r="289" spans="1:11">
      <c r="A289" s="506" t="s">
        <v>753</v>
      </c>
      <c r="B289" s="284"/>
      <c r="C289" s="284"/>
      <c r="D289" s="332"/>
      <c r="E289" s="332"/>
      <c r="F289" s="332"/>
      <c r="G289" s="294"/>
      <c r="H289" s="294"/>
      <c r="I289" s="374"/>
      <c r="J289" s="374"/>
      <c r="K289" s="352"/>
    </row>
    <row r="290" spans="1:11">
      <c r="A290" s="506" t="str">
        <f>+'Input Sheet'!B96</f>
        <v>Paddy</v>
      </c>
      <c r="B290" s="284"/>
      <c r="C290" s="284"/>
      <c r="D290" s="332"/>
      <c r="E290" s="332"/>
      <c r="F290" s="332"/>
      <c r="G290" s="294"/>
      <c r="H290" s="294"/>
      <c r="I290" s="374"/>
      <c r="J290" s="374"/>
      <c r="K290" s="352"/>
    </row>
    <row r="291" spans="1:11">
      <c r="A291" s="281" t="s">
        <v>355</v>
      </c>
      <c r="B291" s="284">
        <v>0</v>
      </c>
      <c r="C291" s="284">
        <f t="shared" ref="C291:H291" si="123">B294</f>
        <v>16</v>
      </c>
      <c r="D291" s="332">
        <f t="shared" si="123"/>
        <v>16</v>
      </c>
      <c r="E291" s="332">
        <f t="shared" si="123"/>
        <v>16</v>
      </c>
      <c r="F291" s="332">
        <f t="shared" si="123"/>
        <v>16</v>
      </c>
      <c r="G291" s="332">
        <f t="shared" si="123"/>
        <v>16</v>
      </c>
      <c r="H291" s="332">
        <f t="shared" si="123"/>
        <v>16</v>
      </c>
      <c r="I291" s="375"/>
      <c r="J291" s="375"/>
      <c r="K291" s="353"/>
    </row>
    <row r="292" spans="1:11">
      <c r="A292" s="281" t="s">
        <v>754</v>
      </c>
      <c r="B292" s="285">
        <f t="shared" ref="B292:H292" si="124">SUM(B293:B294)-B291</f>
        <v>1360</v>
      </c>
      <c r="C292" s="285">
        <f t="shared" si="124"/>
        <v>1344</v>
      </c>
      <c r="D292" s="332">
        <f t="shared" si="124"/>
        <v>1344</v>
      </c>
      <c r="E292" s="332">
        <f t="shared" si="124"/>
        <v>1344</v>
      </c>
      <c r="F292" s="332">
        <f t="shared" si="124"/>
        <v>1344</v>
      </c>
      <c r="G292" s="332">
        <f t="shared" si="124"/>
        <v>1440</v>
      </c>
      <c r="H292" s="332">
        <f t="shared" si="124"/>
        <v>1536</v>
      </c>
      <c r="I292" s="375"/>
      <c r="J292" s="375"/>
      <c r="K292" s="354"/>
    </row>
    <row r="293" spans="1:11">
      <c r="A293" s="281" t="s">
        <v>755</v>
      </c>
      <c r="B293" s="285">
        <f t="shared" ref="B293:H293" si="125">+B32</f>
        <v>1344</v>
      </c>
      <c r="C293" s="285">
        <f t="shared" si="125"/>
        <v>1344</v>
      </c>
      <c r="D293" s="332">
        <f t="shared" si="125"/>
        <v>1344</v>
      </c>
      <c r="E293" s="332">
        <f t="shared" si="125"/>
        <v>1344</v>
      </c>
      <c r="F293" s="332">
        <f t="shared" si="125"/>
        <v>1344</v>
      </c>
      <c r="G293" s="332">
        <f t="shared" si="125"/>
        <v>1440</v>
      </c>
      <c r="H293" s="332">
        <f t="shared" si="125"/>
        <v>1536</v>
      </c>
      <c r="I293" s="375"/>
      <c r="J293" s="375"/>
      <c r="K293" s="354"/>
    </row>
    <row r="294" spans="1:11">
      <c r="A294" s="281" t="s">
        <v>756</v>
      </c>
      <c r="B294" s="284">
        <f t="shared" ref="B294:H294" si="126">ROUND(B293/B68,0)</f>
        <v>16</v>
      </c>
      <c r="C294" s="284">
        <f t="shared" si="126"/>
        <v>16</v>
      </c>
      <c r="D294" s="332">
        <f t="shared" si="126"/>
        <v>16</v>
      </c>
      <c r="E294" s="332">
        <f t="shared" si="126"/>
        <v>16</v>
      </c>
      <c r="F294" s="332">
        <f t="shared" si="126"/>
        <v>16</v>
      </c>
      <c r="G294" s="332">
        <f t="shared" si="126"/>
        <v>16</v>
      </c>
      <c r="H294" s="332">
        <f t="shared" si="126"/>
        <v>16</v>
      </c>
      <c r="I294" s="375"/>
      <c r="J294" s="375"/>
      <c r="K294" s="353"/>
    </row>
    <row r="295" spans="1:11">
      <c r="A295" s="336"/>
      <c r="B295" s="272"/>
      <c r="C295" s="272"/>
      <c r="D295" s="294"/>
      <c r="E295" s="294"/>
      <c r="F295" s="294"/>
      <c r="G295" s="294"/>
      <c r="H295" s="294"/>
      <c r="I295" s="374"/>
      <c r="J295" s="374"/>
      <c r="K295" s="352"/>
    </row>
    <row r="296" spans="1:11">
      <c r="A296" s="506" t="s">
        <v>757</v>
      </c>
      <c r="B296" s="272"/>
      <c r="C296" s="272"/>
      <c r="D296" s="294"/>
      <c r="E296" s="294"/>
      <c r="F296" s="294"/>
      <c r="G296" s="294"/>
      <c r="H296" s="294"/>
      <c r="I296" s="374"/>
      <c r="J296" s="374"/>
      <c r="K296" s="352"/>
    </row>
    <row r="297" spans="1:11">
      <c r="A297" s="506" t="s">
        <v>758</v>
      </c>
      <c r="B297" s="575">
        <f>+'Input Sheet'!C96</f>
        <v>22800</v>
      </c>
      <c r="C297" s="575">
        <f>+'Input Sheet'!D96</f>
        <v>23940</v>
      </c>
      <c r="D297" s="575">
        <f>+'Input Sheet'!E96</f>
        <v>25140</v>
      </c>
      <c r="E297" s="575">
        <f>+'Input Sheet'!F96</f>
        <v>26400</v>
      </c>
      <c r="F297" s="575">
        <f>+'Input Sheet'!G96</f>
        <v>27720</v>
      </c>
      <c r="G297" s="575">
        <f>+'Input Sheet'!H96</f>
        <v>29110</v>
      </c>
      <c r="H297" s="575">
        <f>+'Input Sheet'!I96</f>
        <v>30570</v>
      </c>
      <c r="I297" s="374"/>
      <c r="J297" s="374"/>
      <c r="K297" s="355"/>
    </row>
    <row r="298" spans="1:11">
      <c r="A298" s="336"/>
      <c r="B298" s="272"/>
      <c r="C298" s="272"/>
      <c r="D298" s="294"/>
      <c r="E298" s="294"/>
      <c r="F298" s="294"/>
      <c r="G298" s="294"/>
      <c r="H298" s="294"/>
      <c r="I298" s="374"/>
      <c r="J298" s="374"/>
      <c r="K298" s="352"/>
    </row>
    <row r="299" spans="1:11">
      <c r="A299" s="336"/>
      <c r="B299" s="272"/>
      <c r="C299" s="272"/>
      <c r="D299" s="294"/>
      <c r="E299" s="294"/>
      <c r="F299" s="294"/>
      <c r="G299" s="294"/>
      <c r="H299" s="294"/>
      <c r="I299" s="374"/>
      <c r="J299" s="374"/>
      <c r="K299" s="352"/>
    </row>
    <row r="300" spans="1:11">
      <c r="A300" s="548" t="s">
        <v>759</v>
      </c>
      <c r="B300" s="350">
        <f>+B291*B297/100000</f>
        <v>0</v>
      </c>
      <c r="C300" s="292">
        <f t="shared" ref="C300:H300" si="127">+B301</f>
        <v>3.6480000000000001</v>
      </c>
      <c r="D300" s="292">
        <f t="shared" si="127"/>
        <v>3.8304</v>
      </c>
      <c r="E300" s="292">
        <f t="shared" si="127"/>
        <v>4.0224000000000002</v>
      </c>
      <c r="F300" s="292">
        <f t="shared" si="127"/>
        <v>4.2240000000000002</v>
      </c>
      <c r="G300" s="292">
        <f t="shared" si="127"/>
        <v>4.4352</v>
      </c>
      <c r="H300" s="292">
        <f t="shared" si="127"/>
        <v>4.6576000000000004</v>
      </c>
      <c r="I300" s="356"/>
      <c r="J300" s="356"/>
      <c r="K300" s="356"/>
    </row>
    <row r="301" spans="1:11">
      <c r="A301" s="548" t="s">
        <v>760</v>
      </c>
      <c r="B301" s="292">
        <f t="shared" ref="B301:H301" si="128">+B294*B297/100000</f>
        <v>3.6480000000000001</v>
      </c>
      <c r="C301" s="292">
        <f t="shared" si="128"/>
        <v>3.8304</v>
      </c>
      <c r="D301" s="292">
        <f t="shared" si="128"/>
        <v>4.0224000000000002</v>
      </c>
      <c r="E301" s="292">
        <f t="shared" si="128"/>
        <v>4.2240000000000002</v>
      </c>
      <c r="F301" s="292">
        <f t="shared" si="128"/>
        <v>4.4352</v>
      </c>
      <c r="G301" s="292">
        <f t="shared" si="128"/>
        <v>4.6576000000000004</v>
      </c>
      <c r="H301" s="292">
        <f t="shared" si="128"/>
        <v>4.8912000000000004</v>
      </c>
      <c r="I301" s="356"/>
      <c r="J301" s="356"/>
      <c r="K301" s="356"/>
    </row>
    <row r="302" spans="1:11">
      <c r="A302" s="336"/>
      <c r="B302" s="272"/>
      <c r="C302" s="272"/>
      <c r="D302" s="294"/>
      <c r="E302" s="294"/>
      <c r="F302" s="294"/>
      <c r="G302" s="294"/>
      <c r="H302" s="294"/>
      <c r="I302" s="374"/>
      <c r="J302" s="374"/>
      <c r="K302" s="352"/>
    </row>
    <row r="303" spans="1:11" hidden="1">
      <c r="A303" s="506" t="str">
        <f>+'Input Sheet'!B97</f>
        <v>Moong</v>
      </c>
      <c r="B303" s="284"/>
      <c r="C303" s="284"/>
      <c r="D303" s="332"/>
      <c r="E303" s="332"/>
      <c r="F303" s="332"/>
      <c r="G303" s="294"/>
      <c r="H303" s="294"/>
      <c r="I303" s="374"/>
      <c r="J303" s="374"/>
      <c r="K303" s="352"/>
    </row>
    <row r="304" spans="1:11" hidden="1">
      <c r="A304" s="281" t="s">
        <v>355</v>
      </c>
      <c r="B304" s="284">
        <v>0</v>
      </c>
      <c r="C304" s="284">
        <f t="shared" ref="C304:H304" si="129">B307</f>
        <v>0</v>
      </c>
      <c r="D304" s="332">
        <f t="shared" si="129"/>
        <v>0</v>
      </c>
      <c r="E304" s="332">
        <f t="shared" si="129"/>
        <v>0</v>
      </c>
      <c r="F304" s="332">
        <f t="shared" si="129"/>
        <v>0</v>
      </c>
      <c r="G304" s="332">
        <f t="shared" si="129"/>
        <v>0</v>
      </c>
      <c r="H304" s="332">
        <f t="shared" si="129"/>
        <v>0</v>
      </c>
      <c r="I304" s="375"/>
      <c r="J304" s="375"/>
      <c r="K304" s="353"/>
    </row>
    <row r="305" spans="1:11" hidden="1">
      <c r="A305" s="281" t="s">
        <v>754</v>
      </c>
      <c r="B305" s="285">
        <f t="shared" ref="B305:H305" si="130">SUM(B306:B307)-B304</f>
        <v>0</v>
      </c>
      <c r="C305" s="285">
        <f t="shared" si="130"/>
        <v>0</v>
      </c>
      <c r="D305" s="332">
        <f t="shared" si="130"/>
        <v>0</v>
      </c>
      <c r="E305" s="332">
        <f t="shared" si="130"/>
        <v>0</v>
      </c>
      <c r="F305" s="332">
        <f t="shared" si="130"/>
        <v>0</v>
      </c>
      <c r="G305" s="332">
        <f t="shared" si="130"/>
        <v>0</v>
      </c>
      <c r="H305" s="332">
        <f t="shared" si="130"/>
        <v>0</v>
      </c>
      <c r="I305" s="375"/>
      <c r="J305" s="375"/>
      <c r="K305" s="354"/>
    </row>
    <row r="306" spans="1:11" hidden="1">
      <c r="A306" s="281" t="s">
        <v>755</v>
      </c>
      <c r="B306" s="285">
        <f t="shared" ref="B306:H306" si="131">+B33</f>
        <v>0</v>
      </c>
      <c r="C306" s="285">
        <f t="shared" si="131"/>
        <v>0</v>
      </c>
      <c r="D306" s="332">
        <f t="shared" si="131"/>
        <v>0</v>
      </c>
      <c r="E306" s="332">
        <f t="shared" si="131"/>
        <v>0</v>
      </c>
      <c r="F306" s="332">
        <f t="shared" si="131"/>
        <v>0</v>
      </c>
      <c r="G306" s="332">
        <f t="shared" si="131"/>
        <v>0</v>
      </c>
      <c r="H306" s="332">
        <f t="shared" si="131"/>
        <v>0</v>
      </c>
      <c r="I306" s="375"/>
      <c r="J306" s="375"/>
      <c r="K306" s="354"/>
    </row>
    <row r="307" spans="1:11" hidden="1">
      <c r="A307" s="281" t="s">
        <v>756</v>
      </c>
      <c r="B307" s="284">
        <f t="shared" ref="B307:H307" si="132">ROUND(B306/B68,0)</f>
        <v>0</v>
      </c>
      <c r="C307" s="284">
        <f t="shared" si="132"/>
        <v>0</v>
      </c>
      <c r="D307" s="332">
        <f t="shared" si="132"/>
        <v>0</v>
      </c>
      <c r="E307" s="332">
        <f t="shared" si="132"/>
        <v>0</v>
      </c>
      <c r="F307" s="332">
        <f t="shared" si="132"/>
        <v>0</v>
      </c>
      <c r="G307" s="332">
        <f t="shared" si="132"/>
        <v>0</v>
      </c>
      <c r="H307" s="332">
        <f t="shared" si="132"/>
        <v>0</v>
      </c>
      <c r="I307" s="375"/>
      <c r="J307" s="375"/>
      <c r="K307" s="353"/>
    </row>
    <row r="308" spans="1:11" hidden="1">
      <c r="A308" s="336"/>
      <c r="B308" s="272"/>
      <c r="C308" s="272"/>
      <c r="D308" s="294"/>
      <c r="E308" s="294"/>
      <c r="F308" s="294"/>
      <c r="G308" s="294"/>
      <c r="H308" s="294"/>
      <c r="I308" s="374"/>
      <c r="J308" s="374"/>
      <c r="K308" s="352"/>
    </row>
    <row r="309" spans="1:11" hidden="1">
      <c r="A309" s="506" t="s">
        <v>757</v>
      </c>
      <c r="B309" s="272"/>
      <c r="C309" s="272"/>
      <c r="D309" s="294"/>
      <c r="E309" s="294"/>
      <c r="F309" s="294"/>
      <c r="G309" s="294"/>
      <c r="H309" s="294"/>
      <c r="I309" s="374"/>
      <c r="J309" s="374"/>
      <c r="K309" s="352"/>
    </row>
    <row r="310" spans="1:11" hidden="1">
      <c r="A310" s="506" t="s">
        <v>758</v>
      </c>
      <c r="B310" s="492">
        <f>+'Input Sheet'!C97</f>
        <v>0</v>
      </c>
      <c r="C310" s="492">
        <f>+'Input Sheet'!D97</f>
        <v>0</v>
      </c>
      <c r="D310" s="492">
        <f>+'Input Sheet'!E97</f>
        <v>0</v>
      </c>
      <c r="E310" s="492">
        <f>+'Input Sheet'!F97</f>
        <v>0</v>
      </c>
      <c r="F310" s="492">
        <f>+'Input Sheet'!G97</f>
        <v>0</v>
      </c>
      <c r="G310" s="492">
        <f>+'Input Sheet'!H97</f>
        <v>0</v>
      </c>
      <c r="H310" s="492">
        <f>+'Input Sheet'!I97</f>
        <v>0</v>
      </c>
      <c r="I310" s="374"/>
      <c r="J310" s="374"/>
      <c r="K310" s="355"/>
    </row>
    <row r="311" spans="1:11" hidden="1">
      <c r="A311" s="506"/>
      <c r="B311" s="282"/>
      <c r="C311" s="349"/>
      <c r="D311" s="294"/>
      <c r="E311" s="294"/>
      <c r="F311" s="294"/>
      <c r="G311" s="294"/>
      <c r="H311" s="294"/>
      <c r="I311" s="374"/>
      <c r="J311" s="374"/>
      <c r="K311" s="355"/>
    </row>
    <row r="312" spans="1:11" hidden="1">
      <c r="A312" s="548" t="s">
        <v>759</v>
      </c>
      <c r="B312" s="350">
        <f>+B304*B310/100000</f>
        <v>0</v>
      </c>
      <c r="C312" s="292">
        <f t="shared" ref="C312:H312" si="133">+B313</f>
        <v>0</v>
      </c>
      <c r="D312" s="292">
        <f t="shared" si="133"/>
        <v>0</v>
      </c>
      <c r="E312" s="292">
        <f t="shared" si="133"/>
        <v>0</v>
      </c>
      <c r="F312" s="292">
        <f t="shared" si="133"/>
        <v>0</v>
      </c>
      <c r="G312" s="292">
        <f t="shared" si="133"/>
        <v>0</v>
      </c>
      <c r="H312" s="292">
        <f t="shared" si="133"/>
        <v>0</v>
      </c>
      <c r="I312" s="356"/>
      <c r="J312" s="356"/>
      <c r="K312" s="356"/>
    </row>
    <row r="313" spans="1:11" hidden="1">
      <c r="A313" s="548" t="s">
        <v>760</v>
      </c>
      <c r="B313" s="292">
        <f t="shared" ref="B313:H313" si="134">+B307*B310/100000</f>
        <v>0</v>
      </c>
      <c r="C313" s="292">
        <f t="shared" si="134"/>
        <v>0</v>
      </c>
      <c r="D313" s="292">
        <f t="shared" si="134"/>
        <v>0</v>
      </c>
      <c r="E313" s="292">
        <f t="shared" si="134"/>
        <v>0</v>
      </c>
      <c r="F313" s="292">
        <f t="shared" si="134"/>
        <v>0</v>
      </c>
      <c r="G313" s="292">
        <f t="shared" si="134"/>
        <v>0</v>
      </c>
      <c r="H313" s="292">
        <f t="shared" si="134"/>
        <v>0</v>
      </c>
      <c r="I313" s="356"/>
      <c r="J313" s="356"/>
      <c r="K313" s="356"/>
    </row>
    <row r="314" spans="1:11" hidden="1">
      <c r="A314" s="548"/>
      <c r="B314" s="292"/>
      <c r="C314" s="292"/>
      <c r="D314" s="292"/>
      <c r="E314" s="292"/>
      <c r="F314" s="292"/>
      <c r="G314" s="292"/>
      <c r="H314" s="292"/>
      <c r="I314" s="356"/>
      <c r="J314" s="356"/>
      <c r="K314" s="356"/>
    </row>
    <row r="315" spans="1:11" hidden="1">
      <c r="A315" s="506" t="str">
        <f>+'Input Sheet'!B99</f>
        <v>Udad</v>
      </c>
      <c r="B315" s="284"/>
      <c r="C315" s="284"/>
      <c r="D315" s="332"/>
      <c r="E315" s="332"/>
      <c r="F315" s="332"/>
      <c r="G315" s="294"/>
      <c r="H315" s="294"/>
      <c r="I315" s="374"/>
      <c r="J315" s="374"/>
      <c r="K315" s="352"/>
    </row>
    <row r="316" spans="1:11" hidden="1">
      <c r="A316" s="281" t="s">
        <v>355</v>
      </c>
      <c r="B316" s="284">
        <v>0</v>
      </c>
      <c r="C316" s="284">
        <f t="shared" ref="C316:H316" si="135">B319</f>
        <v>0</v>
      </c>
      <c r="D316" s="332">
        <f t="shared" si="135"/>
        <v>0</v>
      </c>
      <c r="E316" s="332">
        <f t="shared" si="135"/>
        <v>0</v>
      </c>
      <c r="F316" s="332">
        <f t="shared" si="135"/>
        <v>0</v>
      </c>
      <c r="G316" s="332">
        <f t="shared" si="135"/>
        <v>0</v>
      </c>
      <c r="H316" s="332">
        <f t="shared" si="135"/>
        <v>0</v>
      </c>
      <c r="I316" s="375"/>
      <c r="J316" s="375"/>
      <c r="K316" s="353"/>
    </row>
    <row r="317" spans="1:11" hidden="1">
      <c r="A317" s="281" t="s">
        <v>754</v>
      </c>
      <c r="B317" s="285">
        <f t="shared" ref="B317:H317" si="136">SUM(B318:B319)-B316</f>
        <v>0</v>
      </c>
      <c r="C317" s="285">
        <f t="shared" si="136"/>
        <v>0</v>
      </c>
      <c r="D317" s="332">
        <f t="shared" si="136"/>
        <v>0</v>
      </c>
      <c r="E317" s="332">
        <f t="shared" si="136"/>
        <v>0</v>
      </c>
      <c r="F317" s="332">
        <f t="shared" si="136"/>
        <v>0</v>
      </c>
      <c r="G317" s="332">
        <f t="shared" si="136"/>
        <v>0</v>
      </c>
      <c r="H317" s="332">
        <f t="shared" si="136"/>
        <v>0</v>
      </c>
      <c r="I317" s="375"/>
      <c r="J317" s="375"/>
      <c r="K317" s="354"/>
    </row>
    <row r="318" spans="1:11" hidden="1">
      <c r="A318" s="281" t="s">
        <v>755</v>
      </c>
      <c r="B318" s="285">
        <f t="shared" ref="B318:H318" si="137">+B34</f>
        <v>0</v>
      </c>
      <c r="C318" s="285">
        <f t="shared" si="137"/>
        <v>0</v>
      </c>
      <c r="D318" s="332">
        <f t="shared" si="137"/>
        <v>0</v>
      </c>
      <c r="E318" s="332">
        <f t="shared" si="137"/>
        <v>0</v>
      </c>
      <c r="F318" s="332">
        <f t="shared" si="137"/>
        <v>0</v>
      </c>
      <c r="G318" s="332">
        <f t="shared" si="137"/>
        <v>0</v>
      </c>
      <c r="H318" s="332">
        <f t="shared" si="137"/>
        <v>0</v>
      </c>
      <c r="I318" s="375"/>
      <c r="J318" s="375"/>
      <c r="K318" s="354"/>
    </row>
    <row r="319" spans="1:11" hidden="1">
      <c r="A319" s="281" t="s">
        <v>756</v>
      </c>
      <c r="B319" s="284">
        <f t="shared" ref="B319:H319" si="138">ROUND(B318/B68,0)</f>
        <v>0</v>
      </c>
      <c r="C319" s="284">
        <f t="shared" si="138"/>
        <v>0</v>
      </c>
      <c r="D319" s="332">
        <f t="shared" si="138"/>
        <v>0</v>
      </c>
      <c r="E319" s="332">
        <f t="shared" si="138"/>
        <v>0</v>
      </c>
      <c r="F319" s="332">
        <f t="shared" si="138"/>
        <v>0</v>
      </c>
      <c r="G319" s="332">
        <f t="shared" si="138"/>
        <v>0</v>
      </c>
      <c r="H319" s="332">
        <f t="shared" si="138"/>
        <v>0</v>
      </c>
      <c r="I319" s="375"/>
      <c r="J319" s="375"/>
      <c r="K319" s="353"/>
    </row>
    <row r="320" spans="1:11" hidden="1">
      <c r="A320" s="336"/>
      <c r="B320" s="272"/>
      <c r="C320" s="272"/>
      <c r="D320" s="294"/>
      <c r="E320" s="294"/>
      <c r="F320" s="294"/>
      <c r="G320" s="294"/>
      <c r="H320" s="294"/>
      <c r="I320" s="374"/>
      <c r="J320" s="374"/>
      <c r="K320" s="352"/>
    </row>
    <row r="321" spans="1:11" hidden="1">
      <c r="A321" s="506" t="s">
        <v>757</v>
      </c>
      <c r="B321" s="272"/>
      <c r="C321" s="272"/>
      <c r="D321" s="294"/>
      <c r="E321" s="294"/>
      <c r="F321" s="294"/>
      <c r="G321" s="294"/>
      <c r="H321" s="294"/>
      <c r="I321" s="374"/>
      <c r="J321" s="374"/>
      <c r="K321" s="352"/>
    </row>
    <row r="322" spans="1:11" hidden="1">
      <c r="A322" s="506" t="s">
        <v>758</v>
      </c>
      <c r="B322" s="282">
        <f>+'Input Sheet'!C99</f>
        <v>0</v>
      </c>
      <c r="C322" s="282">
        <f>+'Input Sheet'!D99</f>
        <v>0</v>
      </c>
      <c r="D322" s="282">
        <f>+'Input Sheet'!E99</f>
        <v>0</v>
      </c>
      <c r="E322" s="282">
        <f>+'Input Sheet'!F99</f>
        <v>0</v>
      </c>
      <c r="F322" s="282">
        <f>+'Input Sheet'!G99</f>
        <v>0</v>
      </c>
      <c r="G322" s="282">
        <f>+'Input Sheet'!H99</f>
        <v>0</v>
      </c>
      <c r="H322" s="282">
        <f>+'Input Sheet'!I99</f>
        <v>0</v>
      </c>
      <c r="I322" s="374"/>
      <c r="J322" s="374"/>
      <c r="K322" s="355"/>
    </row>
    <row r="323" spans="1:11" hidden="1">
      <c r="A323" s="506"/>
      <c r="B323" s="282"/>
      <c r="C323" s="349"/>
      <c r="D323" s="294"/>
      <c r="E323" s="294"/>
      <c r="F323" s="294"/>
      <c r="G323" s="294"/>
      <c r="H323" s="294"/>
      <c r="I323" s="374"/>
      <c r="J323" s="374"/>
      <c r="K323" s="355"/>
    </row>
    <row r="324" spans="1:11" hidden="1">
      <c r="A324" s="548" t="s">
        <v>759</v>
      </c>
      <c r="B324" s="350">
        <f>+B316*B322/100000</f>
        <v>0</v>
      </c>
      <c r="C324" s="292">
        <f t="shared" ref="C324:H324" si="139">+B325</f>
        <v>0</v>
      </c>
      <c r="D324" s="292">
        <f t="shared" si="139"/>
        <v>0</v>
      </c>
      <c r="E324" s="292">
        <f t="shared" si="139"/>
        <v>0</v>
      </c>
      <c r="F324" s="292">
        <f t="shared" si="139"/>
        <v>0</v>
      </c>
      <c r="G324" s="292">
        <f t="shared" si="139"/>
        <v>0</v>
      </c>
      <c r="H324" s="292">
        <f t="shared" si="139"/>
        <v>0</v>
      </c>
      <c r="I324" s="356"/>
      <c r="J324" s="356"/>
      <c r="K324" s="356"/>
    </row>
    <row r="325" spans="1:11" hidden="1">
      <c r="A325" s="548" t="s">
        <v>760</v>
      </c>
      <c r="B325" s="292">
        <f t="shared" ref="B325:H325" si="140">+B319*B322/100000</f>
        <v>0</v>
      </c>
      <c r="C325" s="292">
        <f t="shared" si="140"/>
        <v>0</v>
      </c>
      <c r="D325" s="292">
        <f t="shared" si="140"/>
        <v>0</v>
      </c>
      <c r="E325" s="292">
        <f t="shared" si="140"/>
        <v>0</v>
      </c>
      <c r="F325" s="292">
        <f t="shared" si="140"/>
        <v>0</v>
      </c>
      <c r="G325" s="292">
        <f t="shared" si="140"/>
        <v>0</v>
      </c>
      <c r="H325" s="292">
        <f t="shared" si="140"/>
        <v>0</v>
      </c>
      <c r="I325" s="356"/>
      <c r="J325" s="356"/>
      <c r="K325" s="356"/>
    </row>
    <row r="326" spans="1:11" hidden="1">
      <c r="A326" s="336"/>
      <c r="B326" s="272"/>
      <c r="C326" s="272"/>
      <c r="D326" s="294"/>
      <c r="E326" s="294"/>
      <c r="F326" s="294"/>
      <c r="G326" s="294"/>
      <c r="H326" s="294"/>
      <c r="I326" s="374"/>
      <c r="J326" s="374"/>
      <c r="K326" s="352"/>
    </row>
    <row r="327" spans="1:11" hidden="1">
      <c r="A327" s="506" t="str">
        <f>+'Input Sheet'!B100</f>
        <v>Tur</v>
      </c>
      <c r="B327" s="284"/>
      <c r="C327" s="284"/>
      <c r="D327" s="332"/>
      <c r="E327" s="332"/>
      <c r="F327" s="332"/>
      <c r="G327" s="294"/>
      <c r="H327" s="294"/>
      <c r="I327" s="374"/>
      <c r="J327" s="374"/>
      <c r="K327" s="352"/>
    </row>
    <row r="328" spans="1:11" hidden="1">
      <c r="A328" s="281" t="s">
        <v>355</v>
      </c>
      <c r="B328" s="284">
        <v>0</v>
      </c>
      <c r="C328" s="284">
        <f t="shared" ref="C328:H328" si="141">B331</f>
        <v>0</v>
      </c>
      <c r="D328" s="332">
        <f t="shared" si="141"/>
        <v>0</v>
      </c>
      <c r="E328" s="332">
        <f t="shared" si="141"/>
        <v>0</v>
      </c>
      <c r="F328" s="332">
        <f t="shared" si="141"/>
        <v>0</v>
      </c>
      <c r="G328" s="332">
        <f t="shared" si="141"/>
        <v>0</v>
      </c>
      <c r="H328" s="332">
        <f t="shared" si="141"/>
        <v>0</v>
      </c>
      <c r="I328" s="375"/>
      <c r="J328" s="375"/>
      <c r="K328" s="353"/>
    </row>
    <row r="329" spans="1:11" hidden="1">
      <c r="A329" s="281" t="s">
        <v>754</v>
      </c>
      <c r="B329" s="285">
        <f t="shared" ref="B329:H329" si="142">SUM(B330:B331)-B328</f>
        <v>0</v>
      </c>
      <c r="C329" s="285">
        <f t="shared" si="142"/>
        <v>0</v>
      </c>
      <c r="D329" s="332">
        <f t="shared" si="142"/>
        <v>0</v>
      </c>
      <c r="E329" s="332">
        <f t="shared" si="142"/>
        <v>0</v>
      </c>
      <c r="F329" s="332">
        <f t="shared" si="142"/>
        <v>0</v>
      </c>
      <c r="G329" s="332">
        <f t="shared" si="142"/>
        <v>0</v>
      </c>
      <c r="H329" s="332">
        <f t="shared" si="142"/>
        <v>0</v>
      </c>
      <c r="I329" s="375"/>
      <c r="J329" s="375"/>
      <c r="K329" s="354"/>
    </row>
    <row r="330" spans="1:11" hidden="1">
      <c r="A330" s="281" t="s">
        <v>755</v>
      </c>
      <c r="B330" s="285">
        <f t="shared" ref="B330:H330" si="143">+B35</f>
        <v>0</v>
      </c>
      <c r="C330" s="285">
        <f t="shared" si="143"/>
        <v>0</v>
      </c>
      <c r="D330" s="332">
        <f t="shared" si="143"/>
        <v>0</v>
      </c>
      <c r="E330" s="332">
        <f t="shared" si="143"/>
        <v>0</v>
      </c>
      <c r="F330" s="332">
        <f t="shared" si="143"/>
        <v>0</v>
      </c>
      <c r="G330" s="332">
        <f t="shared" si="143"/>
        <v>0</v>
      </c>
      <c r="H330" s="332">
        <f t="shared" si="143"/>
        <v>0</v>
      </c>
      <c r="I330" s="375"/>
      <c r="J330" s="375"/>
      <c r="K330" s="354"/>
    </row>
    <row r="331" spans="1:11" hidden="1">
      <c r="A331" s="281" t="s">
        <v>756</v>
      </c>
      <c r="B331" s="284">
        <f t="shared" ref="B331:H331" si="144">ROUND(B330/B68,0)</f>
        <v>0</v>
      </c>
      <c r="C331" s="284">
        <f t="shared" si="144"/>
        <v>0</v>
      </c>
      <c r="D331" s="332">
        <f t="shared" si="144"/>
        <v>0</v>
      </c>
      <c r="E331" s="332">
        <f t="shared" si="144"/>
        <v>0</v>
      </c>
      <c r="F331" s="332">
        <f t="shared" si="144"/>
        <v>0</v>
      </c>
      <c r="G331" s="332">
        <f t="shared" si="144"/>
        <v>0</v>
      </c>
      <c r="H331" s="332">
        <f t="shared" si="144"/>
        <v>0</v>
      </c>
      <c r="I331" s="375"/>
      <c r="J331" s="375"/>
      <c r="K331" s="353"/>
    </row>
    <row r="332" spans="1:11" hidden="1">
      <c r="A332" s="336"/>
      <c r="B332" s="272"/>
      <c r="C332" s="272"/>
      <c r="D332" s="294"/>
      <c r="E332" s="294"/>
      <c r="F332" s="294"/>
      <c r="G332" s="294"/>
      <c r="H332" s="294"/>
      <c r="I332" s="374"/>
      <c r="J332" s="374"/>
      <c r="K332" s="352"/>
    </row>
    <row r="333" spans="1:11" hidden="1">
      <c r="A333" s="506" t="s">
        <v>757</v>
      </c>
      <c r="B333" s="272"/>
      <c r="C333" s="272"/>
      <c r="D333" s="294"/>
      <c r="E333" s="294"/>
      <c r="F333" s="294"/>
      <c r="G333" s="294"/>
      <c r="H333" s="294"/>
      <c r="I333" s="374"/>
      <c r="J333" s="374"/>
      <c r="K333" s="352"/>
    </row>
    <row r="334" spans="1:11" hidden="1">
      <c r="A334" s="506" t="s">
        <v>758</v>
      </c>
      <c r="B334" s="492">
        <f>+'Input Sheet'!C100</f>
        <v>0</v>
      </c>
      <c r="C334" s="492">
        <f>+'Input Sheet'!D100</f>
        <v>0</v>
      </c>
      <c r="D334" s="492">
        <f>+'Input Sheet'!E100</f>
        <v>0</v>
      </c>
      <c r="E334" s="492">
        <f>+'Input Sheet'!F100</f>
        <v>0</v>
      </c>
      <c r="F334" s="492">
        <f>+'Input Sheet'!G100</f>
        <v>0</v>
      </c>
      <c r="G334" s="492">
        <f>+'Input Sheet'!H100</f>
        <v>0</v>
      </c>
      <c r="H334" s="492">
        <f>+'Input Sheet'!I100</f>
        <v>0</v>
      </c>
      <c r="I334" s="374"/>
      <c r="J334" s="374"/>
      <c r="K334" s="355"/>
    </row>
    <row r="335" spans="1:11" hidden="1">
      <c r="A335" s="506"/>
      <c r="B335" s="282"/>
      <c r="C335" s="349"/>
      <c r="D335" s="294"/>
      <c r="E335" s="294"/>
      <c r="F335" s="294"/>
      <c r="G335" s="294"/>
      <c r="H335" s="294"/>
      <c r="I335" s="374"/>
      <c r="J335" s="374"/>
      <c r="K335" s="355"/>
    </row>
    <row r="336" spans="1:11" hidden="1">
      <c r="A336" s="548" t="s">
        <v>759</v>
      </c>
      <c r="B336" s="350">
        <f>+B328*B334/100000</f>
        <v>0</v>
      </c>
      <c r="C336" s="292">
        <f t="shared" ref="C336:H336" si="145">+B337</f>
        <v>0</v>
      </c>
      <c r="D336" s="292">
        <f t="shared" si="145"/>
        <v>0</v>
      </c>
      <c r="E336" s="292">
        <f t="shared" si="145"/>
        <v>0</v>
      </c>
      <c r="F336" s="292">
        <f t="shared" si="145"/>
        <v>0</v>
      </c>
      <c r="G336" s="292">
        <f t="shared" si="145"/>
        <v>0</v>
      </c>
      <c r="H336" s="292">
        <f t="shared" si="145"/>
        <v>0</v>
      </c>
      <c r="I336" s="356"/>
      <c r="J336" s="356"/>
      <c r="K336" s="356"/>
    </row>
    <row r="337" spans="1:11" hidden="1">
      <c r="A337" s="548" t="s">
        <v>760</v>
      </c>
      <c r="B337" s="292">
        <f t="shared" ref="B337:H337" si="146">+B331*B334/100000</f>
        <v>0</v>
      </c>
      <c r="C337" s="292">
        <f t="shared" si="146"/>
        <v>0</v>
      </c>
      <c r="D337" s="292">
        <f t="shared" si="146"/>
        <v>0</v>
      </c>
      <c r="E337" s="292">
        <f t="shared" si="146"/>
        <v>0</v>
      </c>
      <c r="F337" s="292">
        <f t="shared" si="146"/>
        <v>0</v>
      </c>
      <c r="G337" s="292">
        <f t="shared" si="146"/>
        <v>0</v>
      </c>
      <c r="H337" s="292">
        <f t="shared" si="146"/>
        <v>0</v>
      </c>
      <c r="I337" s="356"/>
      <c r="J337" s="356"/>
      <c r="K337" s="356"/>
    </row>
    <row r="338" spans="1:11">
      <c r="A338" s="336"/>
      <c r="B338" s="272"/>
      <c r="C338" s="272"/>
      <c r="D338" s="294"/>
      <c r="E338" s="294"/>
      <c r="F338" s="294"/>
      <c r="G338" s="294"/>
      <c r="H338" s="294"/>
      <c r="I338" s="374"/>
      <c r="J338" s="374"/>
      <c r="K338" s="352"/>
    </row>
    <row r="339" spans="1:11" hidden="1">
      <c r="A339" s="506" t="str">
        <f>+'Input Sheet'!B101</f>
        <v>Chilli</v>
      </c>
      <c r="B339" s="284"/>
      <c r="C339" s="284"/>
      <c r="D339" s="332"/>
      <c r="E339" s="332"/>
      <c r="F339" s="332"/>
      <c r="G339" s="294"/>
      <c r="H339" s="294"/>
      <c r="I339" s="374"/>
      <c r="J339" s="374"/>
      <c r="K339" s="352"/>
    </row>
    <row r="340" spans="1:11" hidden="1">
      <c r="A340" s="281" t="s">
        <v>355</v>
      </c>
      <c r="B340" s="284">
        <v>0</v>
      </c>
      <c r="C340" s="284">
        <f t="shared" ref="C340:H340" si="147">B343</f>
        <v>0</v>
      </c>
      <c r="D340" s="332">
        <f t="shared" si="147"/>
        <v>0</v>
      </c>
      <c r="E340" s="332">
        <f t="shared" si="147"/>
        <v>0</v>
      </c>
      <c r="F340" s="332">
        <f t="shared" si="147"/>
        <v>0</v>
      </c>
      <c r="G340" s="332">
        <f t="shared" si="147"/>
        <v>0</v>
      </c>
      <c r="H340" s="332">
        <f t="shared" si="147"/>
        <v>0</v>
      </c>
      <c r="I340" s="375"/>
      <c r="J340" s="375"/>
      <c r="K340" s="353"/>
    </row>
    <row r="341" spans="1:11" hidden="1">
      <c r="A341" s="281" t="s">
        <v>754</v>
      </c>
      <c r="B341" s="285">
        <f t="shared" ref="B341:H341" si="148">SUM(B342:B343)-B340</f>
        <v>0</v>
      </c>
      <c r="C341" s="285">
        <f t="shared" si="148"/>
        <v>0</v>
      </c>
      <c r="D341" s="332">
        <f t="shared" si="148"/>
        <v>0</v>
      </c>
      <c r="E341" s="332">
        <f t="shared" si="148"/>
        <v>0</v>
      </c>
      <c r="F341" s="332">
        <f t="shared" si="148"/>
        <v>0</v>
      </c>
      <c r="G341" s="332">
        <f t="shared" si="148"/>
        <v>0</v>
      </c>
      <c r="H341" s="332">
        <f t="shared" si="148"/>
        <v>0</v>
      </c>
      <c r="I341" s="375"/>
      <c r="J341" s="375"/>
      <c r="K341" s="354"/>
    </row>
    <row r="342" spans="1:11" hidden="1">
      <c r="A342" s="281" t="s">
        <v>755</v>
      </c>
      <c r="B342" s="285">
        <f t="shared" ref="B342:H342" si="149">+B36</f>
        <v>0</v>
      </c>
      <c r="C342" s="285">
        <f t="shared" si="149"/>
        <v>0</v>
      </c>
      <c r="D342" s="332">
        <f t="shared" si="149"/>
        <v>0</v>
      </c>
      <c r="E342" s="332">
        <f t="shared" si="149"/>
        <v>0</v>
      </c>
      <c r="F342" s="332">
        <f t="shared" si="149"/>
        <v>0</v>
      </c>
      <c r="G342" s="332">
        <f t="shared" si="149"/>
        <v>0</v>
      </c>
      <c r="H342" s="332">
        <f t="shared" si="149"/>
        <v>0</v>
      </c>
      <c r="I342" s="375"/>
      <c r="J342" s="375"/>
      <c r="K342" s="354"/>
    </row>
    <row r="343" spans="1:11" hidden="1">
      <c r="A343" s="281" t="s">
        <v>756</v>
      </c>
      <c r="B343" s="284">
        <f t="shared" ref="B343:H343" si="150">ROUND(B342/B68,0)</f>
        <v>0</v>
      </c>
      <c r="C343" s="284">
        <f t="shared" si="150"/>
        <v>0</v>
      </c>
      <c r="D343" s="332">
        <f t="shared" si="150"/>
        <v>0</v>
      </c>
      <c r="E343" s="332">
        <f t="shared" si="150"/>
        <v>0</v>
      </c>
      <c r="F343" s="332">
        <f t="shared" si="150"/>
        <v>0</v>
      </c>
      <c r="G343" s="332">
        <f t="shared" si="150"/>
        <v>0</v>
      </c>
      <c r="H343" s="332">
        <f t="shared" si="150"/>
        <v>0</v>
      </c>
      <c r="I343" s="375"/>
      <c r="J343" s="375"/>
      <c r="K343" s="353"/>
    </row>
    <row r="344" spans="1:11" hidden="1">
      <c r="A344" s="336"/>
      <c r="B344" s="272"/>
      <c r="C344" s="272"/>
      <c r="D344" s="294"/>
      <c r="E344" s="294"/>
      <c r="F344" s="294"/>
      <c r="G344" s="294"/>
      <c r="H344" s="294"/>
      <c r="I344" s="374"/>
      <c r="J344" s="374"/>
      <c r="K344" s="352"/>
    </row>
    <row r="345" spans="1:11" hidden="1">
      <c r="A345" s="506" t="s">
        <v>757</v>
      </c>
      <c r="B345" s="272"/>
      <c r="C345" s="272"/>
      <c r="D345" s="294"/>
      <c r="E345" s="294"/>
      <c r="F345" s="294"/>
      <c r="G345" s="294"/>
      <c r="H345" s="294"/>
      <c r="I345" s="374"/>
      <c r="J345" s="374"/>
      <c r="K345" s="352"/>
    </row>
    <row r="346" spans="1:11" hidden="1">
      <c r="A346" s="506" t="s">
        <v>758</v>
      </c>
      <c r="B346" s="492">
        <f>+'Input Sheet'!C101</f>
        <v>0</v>
      </c>
      <c r="C346" s="492">
        <f>+'Input Sheet'!D101</f>
        <v>0</v>
      </c>
      <c r="D346" s="492">
        <f>+'Input Sheet'!E101</f>
        <v>0</v>
      </c>
      <c r="E346" s="492">
        <f>+'Input Sheet'!F101</f>
        <v>0</v>
      </c>
      <c r="F346" s="492">
        <f>+'Input Sheet'!G101</f>
        <v>0</v>
      </c>
      <c r="G346" s="492">
        <f>+'Input Sheet'!H101</f>
        <v>0</v>
      </c>
      <c r="H346" s="492">
        <f>+'Input Sheet'!I101</f>
        <v>0</v>
      </c>
      <c r="I346" s="374"/>
      <c r="J346" s="374"/>
      <c r="K346" s="355"/>
    </row>
    <row r="347" spans="1:11" hidden="1">
      <c r="A347" s="506"/>
      <c r="B347" s="282"/>
      <c r="C347" s="349"/>
      <c r="D347" s="294"/>
      <c r="E347" s="294"/>
      <c r="F347" s="294"/>
      <c r="G347" s="294"/>
      <c r="H347" s="294"/>
      <c r="I347" s="374"/>
      <c r="J347" s="374"/>
      <c r="K347" s="355"/>
    </row>
    <row r="348" spans="1:11" hidden="1">
      <c r="A348" s="548" t="s">
        <v>759</v>
      </c>
      <c r="B348" s="350">
        <f>+B340*B346/100000</f>
        <v>0</v>
      </c>
      <c r="C348" s="292">
        <f t="shared" ref="C348:H348" si="151">+B349</f>
        <v>0</v>
      </c>
      <c r="D348" s="292">
        <f t="shared" si="151"/>
        <v>0</v>
      </c>
      <c r="E348" s="292">
        <f t="shared" si="151"/>
        <v>0</v>
      </c>
      <c r="F348" s="292">
        <f t="shared" si="151"/>
        <v>0</v>
      </c>
      <c r="G348" s="292">
        <f t="shared" si="151"/>
        <v>0</v>
      </c>
      <c r="H348" s="292">
        <f t="shared" si="151"/>
        <v>0</v>
      </c>
      <c r="I348" s="356"/>
      <c r="J348" s="356"/>
      <c r="K348" s="356"/>
    </row>
    <row r="349" spans="1:11" hidden="1">
      <c r="A349" s="548" t="s">
        <v>760</v>
      </c>
      <c r="B349" s="292">
        <f t="shared" ref="B349:H349" si="152">+B343*B346/100000</f>
        <v>0</v>
      </c>
      <c r="C349" s="292">
        <f t="shared" si="152"/>
        <v>0</v>
      </c>
      <c r="D349" s="292">
        <f t="shared" si="152"/>
        <v>0</v>
      </c>
      <c r="E349" s="292">
        <f t="shared" si="152"/>
        <v>0</v>
      </c>
      <c r="F349" s="292">
        <f t="shared" si="152"/>
        <v>0</v>
      </c>
      <c r="G349" s="292">
        <f t="shared" si="152"/>
        <v>0</v>
      </c>
      <c r="H349" s="292">
        <f t="shared" si="152"/>
        <v>0</v>
      </c>
      <c r="I349" s="356"/>
      <c r="J349" s="356"/>
      <c r="K349" s="356"/>
    </row>
    <row r="350" spans="1:11">
      <c r="A350" s="336"/>
      <c r="B350" s="272"/>
      <c r="C350" s="272"/>
      <c r="D350" s="294"/>
      <c r="E350" s="294"/>
      <c r="F350" s="294"/>
      <c r="G350" s="294"/>
      <c r="H350" s="294"/>
      <c r="I350" s="374"/>
      <c r="J350" s="374"/>
      <c r="K350" s="352"/>
    </row>
    <row r="351" spans="1:11">
      <c r="A351" s="506" t="s">
        <v>682</v>
      </c>
      <c r="B351" s="291">
        <f>+B300+B312</f>
        <v>0</v>
      </c>
      <c r="C351" s="291">
        <f t="shared" ref="C351:H351" si="153">B352</f>
        <v>3.6480000000000001</v>
      </c>
      <c r="D351" s="291">
        <f t="shared" si="153"/>
        <v>3.8304</v>
      </c>
      <c r="E351" s="291">
        <f t="shared" si="153"/>
        <v>4.0224000000000002</v>
      </c>
      <c r="F351" s="291">
        <f t="shared" si="153"/>
        <v>4.2240000000000002</v>
      </c>
      <c r="G351" s="291">
        <f t="shared" si="153"/>
        <v>4.4352</v>
      </c>
      <c r="H351" s="291">
        <f t="shared" si="153"/>
        <v>4.6576000000000004</v>
      </c>
      <c r="I351" s="357"/>
      <c r="J351" s="357"/>
      <c r="K351" s="357"/>
    </row>
    <row r="352" spans="1:11">
      <c r="A352" s="506" t="s">
        <v>683</v>
      </c>
      <c r="B352" s="291">
        <f>+B337+B325+B313+B301</f>
        <v>3.6480000000000001</v>
      </c>
      <c r="C352" s="291">
        <f t="shared" ref="C352:H352" si="154">+C337+C325+C313+C301</f>
        <v>3.8304</v>
      </c>
      <c r="D352" s="291">
        <f t="shared" si="154"/>
        <v>4.0224000000000002</v>
      </c>
      <c r="E352" s="291">
        <f t="shared" si="154"/>
        <v>4.2240000000000002</v>
      </c>
      <c r="F352" s="291">
        <f t="shared" si="154"/>
        <v>4.4352</v>
      </c>
      <c r="G352" s="291">
        <f t="shared" si="154"/>
        <v>4.6576000000000004</v>
      </c>
      <c r="H352" s="291">
        <f t="shared" si="154"/>
        <v>4.8912000000000004</v>
      </c>
      <c r="I352" s="357"/>
      <c r="J352" s="357"/>
      <c r="K352" s="357"/>
    </row>
    <row r="354" spans="1:12">
      <c r="A354" s="571"/>
    </row>
    <row r="355" spans="1:12" ht="37.5" hidden="1">
      <c r="A355" s="572" t="s">
        <v>860</v>
      </c>
      <c r="D355"/>
      <c r="E355"/>
      <c r="F355"/>
      <c r="G355"/>
      <c r="H355"/>
      <c r="I355"/>
      <c r="J355"/>
    </row>
    <row r="356" spans="1:12" hidden="1">
      <c r="D356"/>
      <c r="E356"/>
      <c r="F356"/>
      <c r="G356"/>
      <c r="H356"/>
      <c r="I356"/>
      <c r="J356"/>
    </row>
    <row r="357" spans="1:12" hidden="1">
      <c r="A357" s="573" t="s">
        <v>673</v>
      </c>
      <c r="B357" s="278" t="s">
        <v>0</v>
      </c>
      <c r="C357" s="496" t="s">
        <v>2</v>
      </c>
      <c r="D357" s="496" t="s">
        <v>3</v>
      </c>
      <c r="E357" s="496" t="s">
        <v>4</v>
      </c>
      <c r="F357" s="496" t="s">
        <v>5</v>
      </c>
      <c r="G357" s="496" t="s">
        <v>6</v>
      </c>
      <c r="H357" s="496" t="s">
        <v>164</v>
      </c>
      <c r="I357" s="498" t="s">
        <v>163</v>
      </c>
      <c r="J357" s="501">
        <v>5</v>
      </c>
      <c r="K357" s="344"/>
      <c r="L357" s="344"/>
    </row>
    <row r="358" spans="1:12" hidden="1">
      <c r="A358" s="562" t="s">
        <v>168</v>
      </c>
      <c r="B358" s="271" t="s">
        <v>861</v>
      </c>
      <c r="C358" s="284">
        <f>+'Input Sheet'!D219</f>
        <v>10</v>
      </c>
      <c r="D358" s="284">
        <f>+'Input Sheet'!E219</f>
        <v>11</v>
      </c>
      <c r="E358" s="284">
        <f>+'Input Sheet'!F219</f>
        <v>12</v>
      </c>
      <c r="F358" s="284">
        <f>+'Input Sheet'!G219</f>
        <v>13</v>
      </c>
      <c r="G358" s="284">
        <f>+'Input Sheet'!H219</f>
        <v>14</v>
      </c>
      <c r="H358" s="284">
        <f>+'Input Sheet'!I219</f>
        <v>15</v>
      </c>
      <c r="I358" s="284">
        <f>+'Input Sheet'!J219</f>
        <v>16</v>
      </c>
      <c r="J358" s="299"/>
      <c r="K358" s="345"/>
      <c r="L358" s="345"/>
    </row>
    <row r="359" spans="1:12" hidden="1">
      <c r="A359" s="336"/>
      <c r="B359" s="284" t="s">
        <v>862</v>
      </c>
      <c r="C359" s="290">
        <f t="shared" ref="C359:I359" si="155">+B69</f>
        <v>210</v>
      </c>
      <c r="D359" s="290">
        <f t="shared" si="155"/>
        <v>210</v>
      </c>
      <c r="E359" s="290">
        <f t="shared" si="155"/>
        <v>210</v>
      </c>
      <c r="F359" s="290">
        <f t="shared" si="155"/>
        <v>210</v>
      </c>
      <c r="G359" s="290">
        <f t="shared" si="155"/>
        <v>210</v>
      </c>
      <c r="H359" s="290">
        <f t="shared" si="155"/>
        <v>225</v>
      </c>
      <c r="I359" s="290">
        <f t="shared" si="155"/>
        <v>240</v>
      </c>
      <c r="J359" s="502"/>
      <c r="K359" s="346"/>
      <c r="L359" s="346"/>
    </row>
    <row r="360" spans="1:12" hidden="1">
      <c r="A360" s="336"/>
      <c r="B360" s="284" t="s">
        <v>863</v>
      </c>
      <c r="C360" s="290">
        <f>+'Input Sheet'!D220</f>
        <v>0</v>
      </c>
      <c r="D360" s="290">
        <f>+'Input Sheet'!E220</f>
        <v>0</v>
      </c>
      <c r="E360" s="290">
        <f>+'Input Sheet'!F220</f>
        <v>0</v>
      </c>
      <c r="F360" s="290">
        <f>+'Input Sheet'!G220</f>
        <v>0</v>
      </c>
      <c r="G360" s="290">
        <f>+'Input Sheet'!H220</f>
        <v>0</v>
      </c>
      <c r="H360" s="290">
        <f>+'Input Sheet'!I220</f>
        <v>0</v>
      </c>
      <c r="I360" s="290">
        <f>+'Input Sheet'!J220</f>
        <v>0</v>
      </c>
      <c r="J360" s="502"/>
      <c r="K360" s="346"/>
      <c r="L360" s="346"/>
    </row>
    <row r="361" spans="1:12" hidden="1">
      <c r="A361" s="336"/>
      <c r="B361" s="271" t="s">
        <v>124</v>
      </c>
      <c r="C361" s="291">
        <f>+C358*C359*C360/100000</f>
        <v>0</v>
      </c>
      <c r="D361" s="291">
        <f t="shared" ref="D361:I361" si="156">+D358*D359*D360/100000</f>
        <v>0</v>
      </c>
      <c r="E361" s="291">
        <f t="shared" si="156"/>
        <v>0</v>
      </c>
      <c r="F361" s="291">
        <f t="shared" si="156"/>
        <v>0</v>
      </c>
      <c r="G361" s="291">
        <f t="shared" si="156"/>
        <v>0</v>
      </c>
      <c r="H361" s="291">
        <f t="shared" si="156"/>
        <v>0</v>
      </c>
      <c r="I361" s="291">
        <f t="shared" si="156"/>
        <v>0</v>
      </c>
      <c r="J361" s="503"/>
      <c r="K361" s="348"/>
      <c r="L361" s="348"/>
    </row>
    <row r="362" spans="1:12" hidden="1">
      <c r="A362" s="336"/>
      <c r="B362" s="271"/>
      <c r="C362" s="291"/>
      <c r="D362" s="291"/>
      <c r="E362" s="291"/>
      <c r="F362" s="291"/>
      <c r="G362" s="291"/>
      <c r="H362" s="291"/>
      <c r="I362" s="291"/>
      <c r="J362" s="503"/>
      <c r="K362" s="348"/>
      <c r="L362" s="348"/>
    </row>
    <row r="363" spans="1:12" hidden="1">
      <c r="A363" s="562" t="s">
        <v>169</v>
      </c>
      <c r="B363" s="271" t="s">
        <v>864</v>
      </c>
      <c r="C363" s="284">
        <v>10</v>
      </c>
      <c r="D363" s="284">
        <f>+ROUND(C363*1.05,)</f>
        <v>11</v>
      </c>
      <c r="E363" s="284">
        <f t="shared" ref="E363:I363" si="157">+ROUND(D363*1.05,)</f>
        <v>12</v>
      </c>
      <c r="F363" s="284">
        <f t="shared" si="157"/>
        <v>13</v>
      </c>
      <c r="G363" s="284">
        <f t="shared" si="157"/>
        <v>14</v>
      </c>
      <c r="H363" s="284">
        <f t="shared" si="157"/>
        <v>15</v>
      </c>
      <c r="I363" s="284">
        <f t="shared" si="157"/>
        <v>16</v>
      </c>
      <c r="J363" s="299"/>
      <c r="K363" s="345"/>
      <c r="L363" s="345"/>
    </row>
    <row r="364" spans="1:12" hidden="1">
      <c r="A364" s="336"/>
      <c r="B364" s="284" t="s">
        <v>862</v>
      </c>
      <c r="C364" s="290">
        <f>+C359</f>
        <v>210</v>
      </c>
      <c r="D364" s="290">
        <f t="shared" ref="D364:I364" si="158">+D359</f>
        <v>210</v>
      </c>
      <c r="E364" s="290">
        <f t="shared" si="158"/>
        <v>210</v>
      </c>
      <c r="F364" s="290">
        <f t="shared" si="158"/>
        <v>210</v>
      </c>
      <c r="G364" s="290">
        <f t="shared" si="158"/>
        <v>210</v>
      </c>
      <c r="H364" s="290">
        <f t="shared" si="158"/>
        <v>225</v>
      </c>
      <c r="I364" s="290">
        <f t="shared" si="158"/>
        <v>240</v>
      </c>
      <c r="J364" s="502"/>
      <c r="K364" s="346"/>
      <c r="L364" s="346"/>
    </row>
    <row r="365" spans="1:12" hidden="1">
      <c r="A365" s="336"/>
      <c r="B365" s="284" t="s">
        <v>863</v>
      </c>
      <c r="C365" s="290">
        <f>+'Input Sheet'!D223</f>
        <v>0</v>
      </c>
      <c r="D365" s="290">
        <f>+'Input Sheet'!E223</f>
        <v>0</v>
      </c>
      <c r="E365" s="290">
        <f>+'Input Sheet'!F223</f>
        <v>0</v>
      </c>
      <c r="F365" s="290">
        <f>+'Input Sheet'!G223</f>
        <v>0</v>
      </c>
      <c r="G365" s="290">
        <f>+'Input Sheet'!H223</f>
        <v>0</v>
      </c>
      <c r="H365" s="290">
        <f>+'Input Sheet'!I223</f>
        <v>0</v>
      </c>
      <c r="I365" s="290">
        <f>+'Input Sheet'!J223</f>
        <v>0</v>
      </c>
      <c r="J365" s="502"/>
      <c r="K365" s="346"/>
      <c r="L365" s="346"/>
    </row>
    <row r="366" spans="1:12" hidden="1">
      <c r="A366" s="336"/>
      <c r="B366" s="271" t="s">
        <v>124</v>
      </c>
      <c r="C366" s="291">
        <f>+C363*C364*C365/100000</f>
        <v>0</v>
      </c>
      <c r="D366" s="291">
        <f t="shared" ref="D366:I366" si="159">+D363*D364*D365/100000</f>
        <v>0</v>
      </c>
      <c r="E366" s="291">
        <f t="shared" si="159"/>
        <v>0</v>
      </c>
      <c r="F366" s="291">
        <f t="shared" si="159"/>
        <v>0</v>
      </c>
      <c r="G366" s="291">
        <f t="shared" si="159"/>
        <v>0</v>
      </c>
      <c r="H366" s="291">
        <f t="shared" si="159"/>
        <v>0</v>
      </c>
      <c r="I366" s="291">
        <f t="shared" si="159"/>
        <v>0</v>
      </c>
      <c r="J366" s="503"/>
      <c r="K366" s="348"/>
      <c r="L366" s="348"/>
    </row>
    <row r="367" spans="1:12" hidden="1">
      <c r="A367" s="574"/>
      <c r="B367" s="9"/>
      <c r="C367" s="9"/>
      <c r="D367" s="9"/>
      <c r="E367" s="9"/>
      <c r="F367" s="9"/>
      <c r="G367" s="9"/>
      <c r="H367" s="9"/>
      <c r="I367" s="9"/>
      <c r="J367" s="380"/>
    </row>
    <row r="368" spans="1:12" hidden="1">
      <c r="A368" s="574"/>
      <c r="B368" s="2" t="s">
        <v>865</v>
      </c>
      <c r="C368" s="443">
        <f>+C361+C366</f>
        <v>0</v>
      </c>
      <c r="D368" s="443">
        <f t="shared" ref="D368:I368" si="160">+D361+D366</f>
        <v>0</v>
      </c>
      <c r="E368" s="443">
        <f t="shared" si="160"/>
        <v>0</v>
      </c>
      <c r="F368" s="443">
        <f t="shared" si="160"/>
        <v>0</v>
      </c>
      <c r="G368" s="443">
        <f t="shared" si="160"/>
        <v>0</v>
      </c>
      <c r="H368" s="443">
        <f t="shared" si="160"/>
        <v>0</v>
      </c>
      <c r="I368" s="443">
        <f t="shared" si="160"/>
        <v>0</v>
      </c>
      <c r="J368" s="504"/>
      <c r="K368" s="500"/>
      <c r="L368" s="500"/>
    </row>
    <row r="369" spans="1:12" hidden="1"/>
    <row r="370" spans="1:12" hidden="1"/>
    <row r="371" spans="1:12" hidden="1"/>
    <row r="372" spans="1:12" hidden="1"/>
    <row r="373" spans="1:12" ht="30" hidden="1">
      <c r="A373" s="539" t="s">
        <v>351</v>
      </c>
      <c r="B373" s="540" t="s">
        <v>953</v>
      </c>
      <c r="C373" s="541" t="s">
        <v>954</v>
      </c>
      <c r="D373" s="671" t="s">
        <v>955</v>
      </c>
      <c r="E373" s="671" t="s">
        <v>956</v>
      </c>
      <c r="F373" s="673" t="s">
        <v>957</v>
      </c>
      <c r="G373" s="674"/>
      <c r="H373" s="674"/>
      <c r="I373" s="674"/>
      <c r="J373" s="674"/>
      <c r="K373" s="674"/>
      <c r="L373" s="674"/>
    </row>
    <row r="374" spans="1:12" hidden="1">
      <c r="A374" s="542" t="s">
        <v>958</v>
      </c>
      <c r="B374" s="542"/>
      <c r="C374" s="543" t="s">
        <v>959</v>
      </c>
      <c r="D374" s="672"/>
      <c r="E374" s="672"/>
      <c r="F374" s="544" t="s">
        <v>2</v>
      </c>
      <c r="G374" s="544" t="s">
        <v>3</v>
      </c>
      <c r="H374" s="544" t="s">
        <v>4</v>
      </c>
      <c r="I374" s="544" t="s">
        <v>5</v>
      </c>
      <c r="J374" s="544" t="s">
        <v>6</v>
      </c>
      <c r="K374" s="544" t="s">
        <v>164</v>
      </c>
      <c r="L374" s="544" t="s">
        <v>163</v>
      </c>
    </row>
    <row r="375" spans="1:12" hidden="1">
      <c r="A375" s="545" t="s">
        <v>960</v>
      </c>
      <c r="B375" s="336"/>
      <c r="C375" s="336"/>
      <c r="D375" s="336"/>
      <c r="E375" s="336"/>
      <c r="F375" s="546">
        <v>0.4</v>
      </c>
      <c r="G375" s="547">
        <v>0.5</v>
      </c>
      <c r="H375" s="547">
        <f t="shared" ref="H375:J375" si="161">+G375+5%</f>
        <v>0.55000000000000004</v>
      </c>
      <c r="I375" s="547">
        <f t="shared" si="161"/>
        <v>0.60000000000000009</v>
      </c>
      <c r="J375" s="547">
        <f t="shared" si="161"/>
        <v>0.65000000000000013</v>
      </c>
      <c r="K375" s="547">
        <f>+J375</f>
        <v>0.65000000000000013</v>
      </c>
      <c r="L375" s="547">
        <v>0.7</v>
      </c>
    </row>
    <row r="376" spans="1:12" hidden="1">
      <c r="A376" s="545" t="s">
        <v>963</v>
      </c>
      <c r="B376" s="336">
        <v>1</v>
      </c>
      <c r="C376" s="336">
        <v>0</v>
      </c>
      <c r="D376" s="336">
        <v>2500</v>
      </c>
      <c r="E376" s="336" t="s">
        <v>961</v>
      </c>
      <c r="F376" s="336">
        <f t="shared" ref="F376:L376" si="162">($B$376*$C$376*$D$376/100000)*F375</f>
        <v>0</v>
      </c>
      <c r="G376" s="336">
        <f t="shared" si="162"/>
        <v>0</v>
      </c>
      <c r="H376" s="336">
        <f t="shared" si="162"/>
        <v>0</v>
      </c>
      <c r="I376" s="336">
        <f t="shared" si="162"/>
        <v>0</v>
      </c>
      <c r="J376" s="336">
        <f t="shared" si="162"/>
        <v>0</v>
      </c>
      <c r="K376" s="336">
        <f t="shared" si="162"/>
        <v>0</v>
      </c>
      <c r="L376" s="336">
        <f t="shared" si="162"/>
        <v>0</v>
      </c>
    </row>
    <row r="377" spans="1:12" hidden="1">
      <c r="A377" s="548" t="s">
        <v>138</v>
      </c>
      <c r="B377" s="548"/>
      <c r="C377" s="548"/>
      <c r="D377" s="548"/>
      <c r="E377" s="548"/>
      <c r="F377" s="549">
        <f t="shared" ref="F377:L377" si="163">SUM(F376:F376)</f>
        <v>0</v>
      </c>
      <c r="G377" s="549">
        <f t="shared" si="163"/>
        <v>0</v>
      </c>
      <c r="H377" s="549">
        <f t="shared" si="163"/>
        <v>0</v>
      </c>
      <c r="I377" s="549">
        <f t="shared" si="163"/>
        <v>0</v>
      </c>
      <c r="J377" s="549">
        <f t="shared" si="163"/>
        <v>0</v>
      </c>
      <c r="K377" s="549">
        <f t="shared" si="163"/>
        <v>0</v>
      </c>
      <c r="L377" s="549">
        <f t="shared" si="163"/>
        <v>0</v>
      </c>
    </row>
  </sheetData>
  <mergeCells count="8">
    <mergeCell ref="D373:D374"/>
    <mergeCell ref="E373:E374"/>
    <mergeCell ref="F373:L373"/>
    <mergeCell ref="A133:I133"/>
    <mergeCell ref="A3:H3"/>
    <mergeCell ref="A74:J74"/>
    <mergeCell ref="A4:H4"/>
    <mergeCell ref="A14:H14"/>
  </mergeCells>
  <pageMargins left="0.25" right="0.25" top="0.75" bottom="0.75" header="0.3" footer="0.3"/>
  <pageSetup paperSize="9" scale="46" fitToHeight="0" orientation="portrait" r:id="rId1"/>
  <rowBreaks count="3" manualBreakCount="3">
    <brk id="71" max="16383" man="1"/>
    <brk id="255" max="15" man="1"/>
    <brk id="283" max="15" man="1"/>
  </rowBreaks>
  <colBreaks count="1" manualBreakCount="1">
    <brk id="10" max="367"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3"/>
  <sheetViews>
    <sheetView topLeftCell="A82" zoomScale="90" zoomScaleNormal="70" workbookViewId="0">
      <selection activeCell="C97" sqref="C97"/>
    </sheetView>
  </sheetViews>
  <sheetFormatPr defaultColWidth="9.140625" defaultRowHeight="15"/>
  <cols>
    <col min="1" max="1" width="4" style="477" bestFit="1" customWidth="1"/>
    <col min="2" max="2" width="76.28515625" style="473" bestFit="1" customWidth="1"/>
    <col min="3" max="3" width="23.7109375" style="473" bestFit="1" customWidth="1"/>
    <col min="4" max="4" width="19.85546875" style="473" bestFit="1" customWidth="1"/>
    <col min="5" max="12" width="12.28515625" style="473" bestFit="1" customWidth="1"/>
    <col min="13" max="16384" width="9.140625" style="473"/>
  </cols>
  <sheetData>
    <row r="1" spans="1:4">
      <c r="A1" s="471"/>
      <c r="B1" s="472" t="s">
        <v>825</v>
      </c>
    </row>
    <row r="2" spans="1:4">
      <c r="A2" s="474">
        <v>1</v>
      </c>
      <c r="B2" s="475" t="s">
        <v>826</v>
      </c>
    </row>
    <row r="3" spans="1:4">
      <c r="A3" s="476" t="s">
        <v>230</v>
      </c>
      <c r="B3" s="473" t="s">
        <v>827</v>
      </c>
      <c r="C3" s="473" t="s">
        <v>828</v>
      </c>
    </row>
    <row r="4" spans="1:4">
      <c r="A4" s="476" t="s">
        <v>231</v>
      </c>
      <c r="B4" s="473" t="s">
        <v>829</v>
      </c>
      <c r="C4" s="473" t="s">
        <v>830</v>
      </c>
    </row>
    <row r="5" spans="1:4">
      <c r="C5" s="475" t="s">
        <v>855</v>
      </c>
    </row>
    <row r="6" spans="1:4">
      <c r="A6" s="477">
        <v>1.1000000000000001</v>
      </c>
      <c r="B6" s="272" t="s">
        <v>923</v>
      </c>
      <c r="C6" s="479">
        <v>1</v>
      </c>
    </row>
    <row r="7" spans="1:4">
      <c r="B7" s="272" t="s">
        <v>894</v>
      </c>
      <c r="C7" s="479">
        <v>0</v>
      </c>
    </row>
    <row r="8" spans="1:4">
      <c r="B8" s="272" t="s">
        <v>897</v>
      </c>
      <c r="C8" s="479">
        <v>0</v>
      </c>
    </row>
    <row r="9" spans="1:4">
      <c r="B9" s="272" t="s">
        <v>899</v>
      </c>
      <c r="C9" s="479">
        <v>0</v>
      </c>
    </row>
    <row r="10" spans="1:4">
      <c r="B10" s="272" t="s">
        <v>663</v>
      </c>
      <c r="C10" s="479">
        <v>0</v>
      </c>
    </row>
    <row r="16" spans="1:4">
      <c r="A16" s="474">
        <v>2</v>
      </c>
      <c r="B16" s="475" t="s">
        <v>16</v>
      </c>
      <c r="C16" s="475" t="s">
        <v>831</v>
      </c>
      <c r="D16" s="475" t="s">
        <v>832</v>
      </c>
    </row>
    <row r="17" spans="1:12">
      <c r="B17" s="473" t="s">
        <v>202</v>
      </c>
      <c r="C17" s="478">
        <v>3.1699999999999999E-2</v>
      </c>
      <c r="D17" s="478">
        <v>6.3299999999999995E-2</v>
      </c>
    </row>
    <row r="18" spans="1:12">
      <c r="B18" s="473" t="s">
        <v>203</v>
      </c>
      <c r="C18" s="479">
        <v>0.1</v>
      </c>
      <c r="D18" s="479">
        <v>0.15</v>
      </c>
    </row>
    <row r="20" spans="1:12">
      <c r="A20" s="474">
        <v>3</v>
      </c>
      <c r="B20" s="475" t="s">
        <v>833</v>
      </c>
      <c r="C20" s="475" t="s">
        <v>893</v>
      </c>
    </row>
    <row r="21" spans="1:12">
      <c r="A21" s="474" t="s">
        <v>939</v>
      </c>
      <c r="B21" s="475" t="s">
        <v>903</v>
      </c>
      <c r="C21" s="475" t="s">
        <v>869</v>
      </c>
    </row>
    <row r="22" spans="1:12">
      <c r="A22" s="474" t="s">
        <v>940</v>
      </c>
      <c r="B22" s="475" t="s">
        <v>942</v>
      </c>
      <c r="C22" s="475">
        <v>1000</v>
      </c>
      <c r="D22" s="473" t="s">
        <v>289</v>
      </c>
    </row>
    <row r="24" spans="1:12">
      <c r="A24" s="474">
        <v>4</v>
      </c>
      <c r="B24" s="475" t="s">
        <v>834</v>
      </c>
      <c r="C24" s="344" t="s">
        <v>2</v>
      </c>
      <c r="D24" s="344" t="s">
        <v>3</v>
      </c>
      <c r="E24" s="344" t="s">
        <v>4</v>
      </c>
      <c r="F24" s="344" t="s">
        <v>5</v>
      </c>
      <c r="G24" s="344" t="s">
        <v>6</v>
      </c>
      <c r="H24" s="344" t="s">
        <v>164</v>
      </c>
      <c r="I24" s="344" t="s">
        <v>163</v>
      </c>
      <c r="J24" s="344" t="s">
        <v>670</v>
      </c>
      <c r="K24" s="344" t="s">
        <v>671</v>
      </c>
      <c r="L24" s="344" t="s">
        <v>672</v>
      </c>
    </row>
    <row r="25" spans="1:12">
      <c r="A25" s="476" t="s">
        <v>230</v>
      </c>
      <c r="B25" s="345" t="s">
        <v>835</v>
      </c>
      <c r="C25" s="480">
        <v>0.5</v>
      </c>
      <c r="D25" s="480">
        <f>+C25+5%</f>
        <v>0.55000000000000004</v>
      </c>
      <c r="E25" s="480">
        <f t="shared" ref="E25:L25" si="0">+D25+5%</f>
        <v>0.60000000000000009</v>
      </c>
      <c r="F25" s="480">
        <f t="shared" si="0"/>
        <v>0.65000000000000013</v>
      </c>
      <c r="G25" s="480">
        <f t="shared" si="0"/>
        <v>0.70000000000000018</v>
      </c>
      <c r="H25" s="480">
        <f t="shared" si="0"/>
        <v>0.75000000000000022</v>
      </c>
      <c r="I25" s="480">
        <f t="shared" si="0"/>
        <v>0.80000000000000027</v>
      </c>
      <c r="J25" s="480">
        <f t="shared" si="0"/>
        <v>0.85000000000000031</v>
      </c>
      <c r="K25" s="480">
        <f t="shared" si="0"/>
        <v>0.90000000000000036</v>
      </c>
      <c r="L25" s="480">
        <f t="shared" si="0"/>
        <v>0.9500000000000004</v>
      </c>
    </row>
    <row r="26" spans="1:12">
      <c r="A26" s="476" t="s">
        <v>231</v>
      </c>
      <c r="B26" s="345" t="s">
        <v>654</v>
      </c>
      <c r="C26" s="480">
        <v>0.55000000000000004</v>
      </c>
      <c r="D26" s="480">
        <f>+C26+5%</f>
        <v>0.60000000000000009</v>
      </c>
      <c r="E26" s="480">
        <f t="shared" ref="E26:L26" si="1">+D26+5%</f>
        <v>0.65000000000000013</v>
      </c>
      <c r="F26" s="480">
        <f t="shared" si="1"/>
        <v>0.70000000000000018</v>
      </c>
      <c r="G26" s="480">
        <f t="shared" si="1"/>
        <v>0.75000000000000022</v>
      </c>
      <c r="H26" s="480">
        <f t="shared" si="1"/>
        <v>0.80000000000000027</v>
      </c>
      <c r="I26" s="480">
        <f t="shared" si="1"/>
        <v>0.85000000000000031</v>
      </c>
      <c r="J26" s="480">
        <f t="shared" si="1"/>
        <v>0.90000000000000036</v>
      </c>
      <c r="K26" s="480">
        <f t="shared" si="1"/>
        <v>0.9500000000000004</v>
      </c>
      <c r="L26" s="480">
        <f t="shared" si="1"/>
        <v>1.0000000000000004</v>
      </c>
    </row>
    <row r="28" spans="1:12">
      <c r="A28" s="474">
        <v>5</v>
      </c>
      <c r="B28" s="273" t="s">
        <v>924</v>
      </c>
    </row>
    <row r="29" spans="1:12">
      <c r="A29" s="476" t="s">
        <v>230</v>
      </c>
      <c r="B29" s="284" t="s">
        <v>930</v>
      </c>
      <c r="C29" s="481">
        <v>0.5</v>
      </c>
    </row>
    <row r="30" spans="1:12">
      <c r="A30" s="476" t="s">
        <v>231</v>
      </c>
      <c r="B30" s="284" t="s">
        <v>931</v>
      </c>
      <c r="C30" s="481">
        <v>0.2</v>
      </c>
    </row>
    <row r="31" spans="1:12">
      <c r="A31" s="476" t="s">
        <v>267</v>
      </c>
      <c r="B31" s="284" t="s">
        <v>932</v>
      </c>
      <c r="C31" s="481">
        <v>0.2</v>
      </c>
    </row>
    <row r="32" spans="1:12">
      <c r="A32" s="476" t="s">
        <v>269</v>
      </c>
      <c r="B32" s="345" t="s">
        <v>852</v>
      </c>
      <c r="C32" s="481">
        <v>0.08</v>
      </c>
    </row>
    <row r="33" spans="1:3">
      <c r="A33" s="476" t="s">
        <v>322</v>
      </c>
      <c r="B33" s="345" t="s">
        <v>853</v>
      </c>
      <c r="C33" s="481">
        <v>0</v>
      </c>
    </row>
    <row r="34" spans="1:3">
      <c r="A34" s="476"/>
      <c r="B34" s="345"/>
      <c r="C34" s="481"/>
    </row>
    <row r="35" spans="1:3">
      <c r="A35" s="474">
        <v>5</v>
      </c>
      <c r="B35" s="273" t="s">
        <v>895</v>
      </c>
    </row>
    <row r="36" spans="1:3">
      <c r="A36" s="476" t="s">
        <v>230</v>
      </c>
      <c r="B36" s="284" t="s">
        <v>904</v>
      </c>
      <c r="C36" s="481">
        <v>0.5</v>
      </c>
    </row>
    <row r="37" spans="1:3">
      <c r="A37" s="476" t="s">
        <v>231</v>
      </c>
      <c r="B37" s="284" t="s">
        <v>905</v>
      </c>
      <c r="C37" s="481">
        <v>0.45</v>
      </c>
    </row>
    <row r="38" spans="1:3">
      <c r="A38" s="476" t="s">
        <v>267</v>
      </c>
      <c r="B38" s="284" t="s">
        <v>665</v>
      </c>
      <c r="C38" s="481">
        <v>0.05</v>
      </c>
    </row>
    <row r="39" spans="1:3">
      <c r="A39" s="476" t="s">
        <v>269</v>
      </c>
      <c r="B39" s="345" t="s">
        <v>852</v>
      </c>
      <c r="C39" s="481">
        <v>0</v>
      </c>
    </row>
    <row r="40" spans="1:3">
      <c r="A40" s="476" t="s">
        <v>322</v>
      </c>
      <c r="B40" s="345" t="s">
        <v>853</v>
      </c>
      <c r="C40" s="481">
        <v>0</v>
      </c>
    </row>
    <row r="41" spans="1:3">
      <c r="A41" s="476"/>
      <c r="B41" s="345"/>
      <c r="C41" s="481"/>
    </row>
    <row r="42" spans="1:3">
      <c r="A42" s="474">
        <v>5</v>
      </c>
      <c r="B42" s="273" t="s">
        <v>898</v>
      </c>
    </row>
    <row r="43" spans="1:3">
      <c r="A43" s="476" t="s">
        <v>230</v>
      </c>
      <c r="B43" s="284" t="s">
        <v>904</v>
      </c>
      <c r="C43" s="481">
        <v>0.5</v>
      </c>
    </row>
    <row r="44" spans="1:3">
      <c r="A44" s="476" t="s">
        <v>231</v>
      </c>
      <c r="B44" s="284" t="s">
        <v>905</v>
      </c>
      <c r="C44" s="481">
        <v>0.45</v>
      </c>
    </row>
    <row r="45" spans="1:3">
      <c r="A45" s="476" t="s">
        <v>267</v>
      </c>
      <c r="B45" s="284" t="s">
        <v>665</v>
      </c>
      <c r="C45" s="481">
        <v>0.05</v>
      </c>
    </row>
    <row r="46" spans="1:3">
      <c r="A46" s="476"/>
      <c r="B46" s="345"/>
      <c r="C46" s="481"/>
    </row>
    <row r="47" spans="1:3">
      <c r="A47" s="474">
        <v>5</v>
      </c>
      <c r="B47" s="470" t="s">
        <v>900</v>
      </c>
    </row>
    <row r="48" spans="1:3">
      <c r="A48" s="476" t="s">
        <v>230</v>
      </c>
      <c r="B48" s="284" t="s">
        <v>904</v>
      </c>
      <c r="C48" s="481">
        <v>0.5</v>
      </c>
    </row>
    <row r="49" spans="1:3">
      <c r="A49" s="476" t="s">
        <v>231</v>
      </c>
      <c r="B49" s="284" t="s">
        <v>905</v>
      </c>
      <c r="C49" s="481">
        <v>0.45</v>
      </c>
    </row>
    <row r="50" spans="1:3">
      <c r="A50" s="476" t="s">
        <v>267</v>
      </c>
      <c r="B50" s="284" t="s">
        <v>665</v>
      </c>
      <c r="C50" s="481">
        <v>0.05</v>
      </c>
    </row>
    <row r="51" spans="1:3">
      <c r="A51" s="476"/>
      <c r="B51" s="345"/>
      <c r="C51" s="481"/>
    </row>
    <row r="52" spans="1:3" hidden="1">
      <c r="A52" s="474">
        <v>5</v>
      </c>
      <c r="B52" s="470" t="s">
        <v>666</v>
      </c>
    </row>
    <row r="53" spans="1:3" hidden="1">
      <c r="A53" s="476" t="s">
        <v>230</v>
      </c>
      <c r="B53" s="345" t="s">
        <v>667</v>
      </c>
      <c r="C53" s="481">
        <v>0</v>
      </c>
    </row>
    <row r="54" spans="1:3" hidden="1">
      <c r="A54" s="476" t="s">
        <v>231</v>
      </c>
      <c r="B54" s="345" t="s">
        <v>668</v>
      </c>
      <c r="C54" s="481">
        <v>0</v>
      </c>
    </row>
    <row r="55" spans="1:3" hidden="1">
      <c r="A55" s="476" t="s">
        <v>267</v>
      </c>
      <c r="B55" s="345" t="s">
        <v>665</v>
      </c>
      <c r="C55" s="481">
        <v>0</v>
      </c>
    </row>
    <row r="56" spans="1:3">
      <c r="A56" s="476"/>
      <c r="B56" s="345"/>
      <c r="C56" s="481"/>
    </row>
    <row r="57" spans="1:3">
      <c r="A57" s="474">
        <v>5</v>
      </c>
      <c r="B57" s="470" t="s">
        <v>925</v>
      </c>
    </row>
    <row r="58" spans="1:3">
      <c r="A58" s="476" t="s">
        <v>230</v>
      </c>
      <c r="B58" s="284" t="s">
        <v>926</v>
      </c>
      <c r="C58" s="481">
        <v>0.73</v>
      </c>
    </row>
    <row r="59" spans="1:3">
      <c r="A59" s="476" t="s">
        <v>231</v>
      </c>
      <c r="B59" s="284" t="s">
        <v>921</v>
      </c>
      <c r="C59" s="481">
        <v>0.25</v>
      </c>
    </row>
    <row r="60" spans="1:3">
      <c r="A60" s="476" t="s">
        <v>267</v>
      </c>
      <c r="B60" s="284" t="s">
        <v>665</v>
      </c>
      <c r="C60" s="481">
        <v>0.02</v>
      </c>
    </row>
    <row r="61" spans="1:3">
      <c r="A61" s="476"/>
      <c r="B61" s="345"/>
      <c r="C61" s="481"/>
    </row>
    <row r="62" spans="1:3">
      <c r="A62" s="476"/>
      <c r="B62" s="345"/>
      <c r="C62" s="481"/>
    </row>
    <row r="63" spans="1:3">
      <c r="A63" s="474">
        <v>5</v>
      </c>
      <c r="B63" s="470" t="s">
        <v>918</v>
      </c>
    </row>
    <row r="64" spans="1:3">
      <c r="A64" s="476" t="s">
        <v>230</v>
      </c>
      <c r="B64" s="284" t="s">
        <v>909</v>
      </c>
      <c r="C64" s="481">
        <v>0.73</v>
      </c>
    </row>
    <row r="65" spans="1:3">
      <c r="A65" s="476" t="s">
        <v>231</v>
      </c>
      <c r="B65" s="284" t="s">
        <v>921</v>
      </c>
      <c r="C65" s="481">
        <v>0.25</v>
      </c>
    </row>
    <row r="66" spans="1:3">
      <c r="A66" s="476" t="s">
        <v>267</v>
      </c>
      <c r="B66" s="284" t="s">
        <v>665</v>
      </c>
      <c r="C66" s="481">
        <v>0.02</v>
      </c>
    </row>
    <row r="67" spans="1:3">
      <c r="A67" s="476"/>
      <c r="B67" s="345"/>
      <c r="C67" s="481"/>
    </row>
    <row r="68" spans="1:3">
      <c r="A68" s="476"/>
      <c r="B68" s="345"/>
      <c r="C68" s="481"/>
    </row>
    <row r="69" spans="1:3">
      <c r="A69" s="474">
        <v>5</v>
      </c>
      <c r="B69" s="470" t="s">
        <v>919</v>
      </c>
    </row>
    <row r="70" spans="1:3">
      <c r="A70" s="476" t="s">
        <v>230</v>
      </c>
      <c r="B70" s="284" t="s">
        <v>910</v>
      </c>
      <c r="C70" s="481">
        <v>0.73</v>
      </c>
    </row>
    <row r="71" spans="1:3">
      <c r="A71" s="476" t="s">
        <v>231</v>
      </c>
      <c r="B71" s="284" t="s">
        <v>921</v>
      </c>
      <c r="C71" s="481">
        <v>0.25</v>
      </c>
    </row>
    <row r="72" spans="1:3">
      <c r="A72" s="476" t="s">
        <v>267</v>
      </c>
      <c r="B72" s="284" t="s">
        <v>665</v>
      </c>
      <c r="C72" s="481">
        <v>0.02</v>
      </c>
    </row>
    <row r="73" spans="1:3">
      <c r="A73" s="476"/>
      <c r="B73" s="345"/>
      <c r="C73" s="481"/>
    </row>
    <row r="74" spans="1:3">
      <c r="A74" s="476"/>
      <c r="B74" s="345"/>
      <c r="C74" s="481"/>
    </row>
    <row r="75" spans="1:3">
      <c r="A75" s="474">
        <v>5</v>
      </c>
      <c r="B75" s="470" t="s">
        <v>920</v>
      </c>
    </row>
    <row r="76" spans="1:3">
      <c r="A76" s="476" t="s">
        <v>230</v>
      </c>
      <c r="B76" s="284" t="s">
        <v>911</v>
      </c>
      <c r="C76" s="481">
        <v>0.73</v>
      </c>
    </row>
    <row r="77" spans="1:3">
      <c r="A77" s="476" t="s">
        <v>231</v>
      </c>
      <c r="B77" s="284" t="s">
        <v>921</v>
      </c>
      <c r="C77" s="481">
        <v>0.25</v>
      </c>
    </row>
    <row r="78" spans="1:3">
      <c r="A78" s="476" t="s">
        <v>267</v>
      </c>
      <c r="B78" s="284" t="s">
        <v>665</v>
      </c>
      <c r="C78" s="481">
        <v>0.02</v>
      </c>
    </row>
    <row r="79" spans="1:3">
      <c r="A79" s="476"/>
      <c r="B79" s="345"/>
      <c r="C79" s="481"/>
    </row>
    <row r="81" spans="1:12">
      <c r="A81" s="477" t="s">
        <v>857</v>
      </c>
      <c r="B81" s="494" t="s">
        <v>927</v>
      </c>
    </row>
    <row r="82" spans="1:12">
      <c r="B82" s="494" t="s">
        <v>907</v>
      </c>
    </row>
    <row r="83" spans="1:12">
      <c r="B83" s="494" t="s">
        <v>908</v>
      </c>
    </row>
    <row r="84" spans="1:12">
      <c r="B84" s="494" t="s">
        <v>901</v>
      </c>
    </row>
    <row r="85" spans="1:12">
      <c r="B85" s="494" t="s">
        <v>858</v>
      </c>
    </row>
    <row r="86" spans="1:12">
      <c r="B86" s="494" t="s">
        <v>928</v>
      </c>
    </row>
    <row r="87" spans="1:12">
      <c r="B87" s="494" t="s">
        <v>912</v>
      </c>
    </row>
    <row r="88" spans="1:12">
      <c r="B88" s="494" t="s">
        <v>913</v>
      </c>
    </row>
    <row r="89" spans="1:12">
      <c r="B89" s="494" t="s">
        <v>914</v>
      </c>
    </row>
    <row r="90" spans="1:12">
      <c r="B90" s="483"/>
    </row>
    <row r="91" spans="1:12">
      <c r="A91" s="477">
        <v>7</v>
      </c>
      <c r="B91" s="473" t="s">
        <v>836</v>
      </c>
      <c r="C91" s="473" t="s">
        <v>837</v>
      </c>
    </row>
    <row r="92" spans="1:12">
      <c r="A92" s="477">
        <v>8</v>
      </c>
      <c r="B92" s="473" t="s">
        <v>872</v>
      </c>
      <c r="C92" s="473" t="s">
        <v>884</v>
      </c>
      <c r="D92" s="482">
        <v>24</v>
      </c>
    </row>
    <row r="93" spans="1:12">
      <c r="A93" s="477">
        <v>9</v>
      </c>
      <c r="B93" s="473" t="s">
        <v>839</v>
      </c>
      <c r="C93" s="473" t="s">
        <v>840</v>
      </c>
    </row>
    <row r="95" spans="1:12">
      <c r="A95" s="477">
        <v>9</v>
      </c>
      <c r="B95" s="491" t="s">
        <v>841</v>
      </c>
      <c r="C95" s="344" t="s">
        <v>2</v>
      </c>
      <c r="D95" s="344" t="s">
        <v>3</v>
      </c>
      <c r="E95" s="344" t="s">
        <v>4</v>
      </c>
      <c r="F95" s="344" t="s">
        <v>5</v>
      </c>
      <c r="G95" s="344" t="s">
        <v>6</v>
      </c>
      <c r="H95" s="344" t="s">
        <v>164</v>
      </c>
      <c r="I95" s="344" t="s">
        <v>163</v>
      </c>
      <c r="J95" s="344" t="s">
        <v>670</v>
      </c>
      <c r="K95" s="344" t="s">
        <v>671</v>
      </c>
      <c r="L95" s="344" t="s">
        <v>672</v>
      </c>
    </row>
    <row r="96" spans="1:12">
      <c r="B96" s="493" t="s">
        <v>929</v>
      </c>
      <c r="C96" s="358">
        <v>22800</v>
      </c>
      <c r="D96" s="358">
        <f>ROUND(C96*1.05,-1)</f>
        <v>23940</v>
      </c>
      <c r="E96" s="358">
        <f t="shared" ref="E96:L96" si="2">ROUND(D96*1.05,-1)</f>
        <v>25140</v>
      </c>
      <c r="F96" s="358">
        <f t="shared" si="2"/>
        <v>26400</v>
      </c>
      <c r="G96" s="358">
        <f t="shared" si="2"/>
        <v>27720</v>
      </c>
      <c r="H96" s="358">
        <f t="shared" si="2"/>
        <v>29110</v>
      </c>
      <c r="I96" s="358">
        <f t="shared" si="2"/>
        <v>30570</v>
      </c>
      <c r="J96" s="358">
        <f t="shared" si="2"/>
        <v>32100</v>
      </c>
      <c r="K96" s="358">
        <f t="shared" si="2"/>
        <v>33710</v>
      </c>
      <c r="L96" s="358">
        <f t="shared" si="2"/>
        <v>35400</v>
      </c>
    </row>
    <row r="97" spans="1:12">
      <c r="B97" s="493" t="s">
        <v>896</v>
      </c>
      <c r="C97" s="358">
        <v>0</v>
      </c>
      <c r="D97" s="358">
        <f t="shared" ref="D97:L101" si="3">ROUND(C97*1.05,-1)</f>
        <v>0</v>
      </c>
      <c r="E97" s="358">
        <f t="shared" si="3"/>
        <v>0</v>
      </c>
      <c r="F97" s="358">
        <f t="shared" si="3"/>
        <v>0</v>
      </c>
      <c r="G97" s="358">
        <f t="shared" si="3"/>
        <v>0</v>
      </c>
      <c r="H97" s="358">
        <f t="shared" si="3"/>
        <v>0</v>
      </c>
      <c r="I97" s="358">
        <f t="shared" si="3"/>
        <v>0</v>
      </c>
      <c r="J97" s="358">
        <f t="shared" si="3"/>
        <v>0</v>
      </c>
      <c r="K97" s="358">
        <f t="shared" si="3"/>
        <v>0</v>
      </c>
      <c r="L97" s="358">
        <f t="shared" si="3"/>
        <v>0</v>
      </c>
    </row>
    <row r="98" spans="1:12" hidden="1">
      <c r="B98" s="493" t="s">
        <v>676</v>
      </c>
      <c r="C98" s="358">
        <v>0</v>
      </c>
      <c r="D98" s="358">
        <f t="shared" si="3"/>
        <v>0</v>
      </c>
      <c r="E98" s="358">
        <f t="shared" si="3"/>
        <v>0</v>
      </c>
      <c r="F98" s="358">
        <f t="shared" si="3"/>
        <v>0</v>
      </c>
      <c r="G98" s="358">
        <f t="shared" si="3"/>
        <v>0</v>
      </c>
      <c r="H98" s="358">
        <f t="shared" si="3"/>
        <v>0</v>
      </c>
      <c r="I98" s="358">
        <f t="shared" si="3"/>
        <v>0</v>
      </c>
      <c r="J98" s="358">
        <f t="shared" si="3"/>
        <v>0</v>
      </c>
      <c r="K98" s="358">
        <f t="shared" si="3"/>
        <v>0</v>
      </c>
      <c r="L98" s="358">
        <f t="shared" si="3"/>
        <v>0</v>
      </c>
    </row>
    <row r="99" spans="1:12">
      <c r="B99" s="493" t="s">
        <v>906</v>
      </c>
      <c r="C99" s="358">
        <v>0</v>
      </c>
      <c r="D99" s="358">
        <f t="shared" si="3"/>
        <v>0</v>
      </c>
      <c r="E99" s="358">
        <f t="shared" si="3"/>
        <v>0</v>
      </c>
      <c r="F99" s="358">
        <f t="shared" si="3"/>
        <v>0</v>
      </c>
      <c r="G99" s="358">
        <f t="shared" si="3"/>
        <v>0</v>
      </c>
      <c r="H99" s="358">
        <f t="shared" si="3"/>
        <v>0</v>
      </c>
      <c r="I99" s="358">
        <f t="shared" si="3"/>
        <v>0</v>
      </c>
      <c r="J99" s="358">
        <f t="shared" si="3"/>
        <v>0</v>
      </c>
      <c r="K99" s="358">
        <f t="shared" si="3"/>
        <v>0</v>
      </c>
      <c r="L99" s="358">
        <f t="shared" si="3"/>
        <v>0</v>
      </c>
    </row>
    <row r="100" spans="1:12">
      <c r="B100" s="493" t="s">
        <v>902</v>
      </c>
      <c r="C100" s="358">
        <v>0</v>
      </c>
      <c r="D100" s="358">
        <f t="shared" si="3"/>
        <v>0</v>
      </c>
      <c r="E100" s="358">
        <f t="shared" si="3"/>
        <v>0</v>
      </c>
      <c r="F100" s="358">
        <f t="shared" si="3"/>
        <v>0</v>
      </c>
      <c r="G100" s="358">
        <f t="shared" si="3"/>
        <v>0</v>
      </c>
      <c r="H100" s="358">
        <f t="shared" si="3"/>
        <v>0</v>
      </c>
      <c r="I100" s="358">
        <f t="shared" si="3"/>
        <v>0</v>
      </c>
      <c r="J100" s="358">
        <f t="shared" si="3"/>
        <v>0</v>
      </c>
      <c r="K100" s="358">
        <f t="shared" si="3"/>
        <v>0</v>
      </c>
      <c r="L100" s="358">
        <f t="shared" si="3"/>
        <v>0</v>
      </c>
    </row>
    <row r="101" spans="1:12">
      <c r="B101" s="493" t="s">
        <v>472</v>
      </c>
      <c r="C101" s="358">
        <v>0</v>
      </c>
      <c r="D101" s="358">
        <f t="shared" si="3"/>
        <v>0</v>
      </c>
      <c r="E101" s="358">
        <f t="shared" si="3"/>
        <v>0</v>
      </c>
      <c r="F101" s="358">
        <f t="shared" si="3"/>
        <v>0</v>
      </c>
      <c r="G101" s="358">
        <f t="shared" si="3"/>
        <v>0</v>
      </c>
      <c r="H101" s="358">
        <f t="shared" si="3"/>
        <v>0</v>
      </c>
      <c r="I101" s="358">
        <f t="shared" si="3"/>
        <v>0</v>
      </c>
      <c r="J101" s="358">
        <f t="shared" si="3"/>
        <v>0</v>
      </c>
      <c r="K101" s="358">
        <f t="shared" si="3"/>
        <v>0</v>
      </c>
      <c r="L101" s="358">
        <f t="shared" si="3"/>
        <v>0</v>
      </c>
    </row>
    <row r="102" spans="1:12">
      <c r="C102" s="358"/>
      <c r="D102" s="358"/>
      <c r="E102" s="358"/>
      <c r="F102" s="358"/>
      <c r="G102" s="358"/>
      <c r="H102" s="358"/>
      <c r="I102" s="358"/>
      <c r="J102" s="358"/>
      <c r="K102" s="358"/>
      <c r="L102" s="358"/>
    </row>
    <row r="103" spans="1:12">
      <c r="A103" s="477">
        <v>10</v>
      </c>
      <c r="B103" s="475" t="s">
        <v>842</v>
      </c>
      <c r="C103" s="344" t="s">
        <v>2</v>
      </c>
      <c r="D103" s="344" t="s">
        <v>3</v>
      </c>
      <c r="E103" s="344" t="s">
        <v>4</v>
      </c>
      <c r="F103" s="344" t="s">
        <v>5</v>
      </c>
      <c r="G103" s="344" t="s">
        <v>6</v>
      </c>
      <c r="H103" s="344" t="s">
        <v>164</v>
      </c>
      <c r="I103" s="344" t="s">
        <v>163</v>
      </c>
      <c r="J103" s="344" t="s">
        <v>670</v>
      </c>
      <c r="K103" s="344" t="s">
        <v>671</v>
      </c>
      <c r="L103" s="344" t="s">
        <v>672</v>
      </c>
    </row>
    <row r="104" spans="1:12">
      <c r="B104" s="473" t="s">
        <v>843</v>
      </c>
      <c r="C104" s="358">
        <v>800</v>
      </c>
      <c r="D104" s="358">
        <f>ROUND(C104*1.05,-1)</f>
        <v>840</v>
      </c>
      <c r="E104" s="358">
        <f t="shared" ref="E104:L104" si="4">ROUND(D104*1.05,-1)</f>
        <v>880</v>
      </c>
      <c r="F104" s="358">
        <f t="shared" si="4"/>
        <v>920</v>
      </c>
      <c r="G104" s="358">
        <f t="shared" si="4"/>
        <v>970</v>
      </c>
      <c r="H104" s="358">
        <f t="shared" si="4"/>
        <v>1020</v>
      </c>
      <c r="I104" s="358">
        <f t="shared" si="4"/>
        <v>1070</v>
      </c>
      <c r="J104" s="358">
        <f t="shared" si="4"/>
        <v>1120</v>
      </c>
      <c r="K104" s="358">
        <f t="shared" si="4"/>
        <v>1180</v>
      </c>
      <c r="L104" s="358">
        <f t="shared" si="4"/>
        <v>1240</v>
      </c>
    </row>
    <row r="106" spans="1:12">
      <c r="A106" s="477">
        <v>11</v>
      </c>
      <c r="B106" s="475" t="s">
        <v>844</v>
      </c>
      <c r="C106" s="473" t="s">
        <v>845</v>
      </c>
    </row>
    <row r="108" spans="1:12">
      <c r="A108" s="477">
        <v>12</v>
      </c>
      <c r="B108" s="491" t="s">
        <v>846</v>
      </c>
      <c r="C108" s="344" t="s">
        <v>2</v>
      </c>
      <c r="D108" s="344" t="s">
        <v>3</v>
      </c>
      <c r="E108" s="344" t="s">
        <v>4</v>
      </c>
      <c r="F108" s="344" t="s">
        <v>5</v>
      </c>
      <c r="G108" s="344" t="s">
        <v>6</v>
      </c>
      <c r="H108" s="344" t="s">
        <v>164</v>
      </c>
      <c r="I108" s="344" t="s">
        <v>163</v>
      </c>
      <c r="J108" s="344" t="s">
        <v>670</v>
      </c>
      <c r="K108" s="344" t="s">
        <v>671</v>
      </c>
      <c r="L108" s="344" t="s">
        <v>672</v>
      </c>
    </row>
    <row r="109" spans="1:12">
      <c r="B109" s="475" t="s">
        <v>929</v>
      </c>
      <c r="C109" s="344"/>
      <c r="D109" s="344"/>
      <c r="E109" s="344"/>
      <c r="F109" s="344"/>
      <c r="G109" s="344"/>
      <c r="H109" s="344"/>
      <c r="I109" s="344"/>
      <c r="J109" s="344"/>
      <c r="K109" s="344"/>
      <c r="L109" s="344"/>
    </row>
    <row r="110" spans="1:12">
      <c r="A110" s="476" t="s">
        <v>230</v>
      </c>
      <c r="B110" s="473" t="str">
        <f>+B29</f>
        <v xml:space="preserve">Rice </v>
      </c>
      <c r="C110" s="358">
        <v>46000</v>
      </c>
      <c r="D110" s="358">
        <f>ROUND(C110*1.05,-1)</f>
        <v>48300</v>
      </c>
      <c r="E110" s="358">
        <f t="shared" ref="E110:L110" si="5">ROUND(D110*1.05,-1)</f>
        <v>50720</v>
      </c>
      <c r="F110" s="358">
        <f t="shared" si="5"/>
        <v>53260</v>
      </c>
      <c r="G110" s="358">
        <f t="shared" si="5"/>
        <v>55920</v>
      </c>
      <c r="H110" s="358">
        <f t="shared" si="5"/>
        <v>58720</v>
      </c>
      <c r="I110" s="358">
        <f t="shared" si="5"/>
        <v>61660</v>
      </c>
      <c r="J110" s="358">
        <f t="shared" si="5"/>
        <v>64740</v>
      </c>
      <c r="K110" s="358">
        <f t="shared" si="5"/>
        <v>67980</v>
      </c>
      <c r="L110" s="358">
        <f t="shared" si="5"/>
        <v>71380</v>
      </c>
    </row>
    <row r="111" spans="1:12">
      <c r="A111" s="476" t="s">
        <v>231</v>
      </c>
      <c r="B111" s="473" t="str">
        <f>+B30</f>
        <v xml:space="preserve">Husk </v>
      </c>
      <c r="C111" s="358">
        <v>2000</v>
      </c>
      <c r="D111" s="358">
        <f>ROUND(C111*1.05,-1)</f>
        <v>2100</v>
      </c>
      <c r="E111" s="358">
        <f t="shared" ref="E111:L111" si="6">ROUND(D111*1.05,-1)</f>
        <v>2210</v>
      </c>
      <c r="F111" s="358">
        <f t="shared" si="6"/>
        <v>2320</v>
      </c>
      <c r="G111" s="358">
        <f t="shared" si="6"/>
        <v>2440</v>
      </c>
      <c r="H111" s="358">
        <f t="shared" si="6"/>
        <v>2560</v>
      </c>
      <c r="I111" s="358">
        <f t="shared" si="6"/>
        <v>2690</v>
      </c>
      <c r="J111" s="358">
        <f t="shared" si="6"/>
        <v>2820</v>
      </c>
      <c r="K111" s="358">
        <f t="shared" si="6"/>
        <v>2960</v>
      </c>
      <c r="L111" s="358">
        <f t="shared" si="6"/>
        <v>3110</v>
      </c>
    </row>
    <row r="112" spans="1:12">
      <c r="A112" s="476" t="s">
        <v>267</v>
      </c>
      <c r="B112" s="473" t="str">
        <f>+B31</f>
        <v>Boken</v>
      </c>
      <c r="C112" s="358">
        <v>16000</v>
      </c>
      <c r="D112" s="358">
        <f>ROUND(C112*1.05,-1)</f>
        <v>16800</v>
      </c>
      <c r="E112" s="358">
        <f t="shared" ref="E112:L114" si="7">ROUND(D112*1.05,-1)</f>
        <v>17640</v>
      </c>
      <c r="F112" s="358">
        <f t="shared" si="7"/>
        <v>18520</v>
      </c>
      <c r="G112" s="358">
        <f t="shared" si="7"/>
        <v>19450</v>
      </c>
      <c r="H112" s="358">
        <f t="shared" si="7"/>
        <v>20420</v>
      </c>
      <c r="I112" s="358">
        <f t="shared" si="7"/>
        <v>21440</v>
      </c>
      <c r="J112" s="358">
        <f t="shared" si="7"/>
        <v>22510</v>
      </c>
      <c r="K112" s="358">
        <f t="shared" si="7"/>
        <v>23640</v>
      </c>
      <c r="L112" s="358">
        <f t="shared" si="7"/>
        <v>24820</v>
      </c>
    </row>
    <row r="113" spans="1:12">
      <c r="A113" s="476" t="s">
        <v>269</v>
      </c>
      <c r="B113" s="473" t="s">
        <v>852</v>
      </c>
      <c r="C113" s="358">
        <v>10000</v>
      </c>
      <c r="D113" s="358">
        <f>ROUND(C113*1.05,-1)</f>
        <v>10500</v>
      </c>
      <c r="E113" s="358">
        <f t="shared" si="7"/>
        <v>11030</v>
      </c>
      <c r="F113" s="358">
        <f t="shared" si="7"/>
        <v>11580</v>
      </c>
      <c r="G113" s="358">
        <f t="shared" si="7"/>
        <v>12160</v>
      </c>
      <c r="H113" s="358">
        <f t="shared" si="7"/>
        <v>12770</v>
      </c>
      <c r="I113" s="358">
        <f t="shared" si="7"/>
        <v>13410</v>
      </c>
      <c r="J113" s="358">
        <f t="shared" si="7"/>
        <v>14080</v>
      </c>
      <c r="K113" s="358">
        <f t="shared" si="7"/>
        <v>14780</v>
      </c>
      <c r="L113" s="358">
        <f t="shared" si="7"/>
        <v>15520</v>
      </c>
    </row>
    <row r="114" spans="1:12">
      <c r="A114" s="476" t="s">
        <v>322</v>
      </c>
      <c r="B114" s="473" t="s">
        <v>853</v>
      </c>
      <c r="C114" s="358">
        <v>0</v>
      </c>
      <c r="D114" s="358">
        <f>ROUND(C114*1.05,-1)</f>
        <v>0</v>
      </c>
      <c r="E114" s="358">
        <f t="shared" si="7"/>
        <v>0</v>
      </c>
      <c r="F114" s="358">
        <f t="shared" si="7"/>
        <v>0</v>
      </c>
      <c r="G114" s="358">
        <f t="shared" si="7"/>
        <v>0</v>
      </c>
      <c r="H114" s="358">
        <f t="shared" si="7"/>
        <v>0</v>
      </c>
      <c r="I114" s="358">
        <f t="shared" si="7"/>
        <v>0</v>
      </c>
      <c r="J114" s="358">
        <f t="shared" si="7"/>
        <v>0</v>
      </c>
      <c r="K114" s="358">
        <f t="shared" si="7"/>
        <v>0</v>
      </c>
      <c r="L114" s="358">
        <f t="shared" si="7"/>
        <v>0</v>
      </c>
    </row>
    <row r="115" spans="1:12">
      <c r="A115" s="476"/>
      <c r="C115" s="358"/>
      <c r="D115" s="358"/>
      <c r="E115" s="358"/>
      <c r="F115" s="358"/>
      <c r="G115" s="358"/>
      <c r="H115" s="358"/>
      <c r="I115" s="358"/>
      <c r="J115" s="358"/>
      <c r="K115" s="358"/>
      <c r="L115" s="358"/>
    </row>
    <row r="116" spans="1:12">
      <c r="A116" s="476"/>
      <c r="B116" s="475" t="s">
        <v>896</v>
      </c>
      <c r="C116" s="358"/>
      <c r="D116" s="358"/>
      <c r="E116" s="358"/>
      <c r="F116" s="358"/>
      <c r="G116" s="358"/>
      <c r="H116" s="358"/>
      <c r="I116" s="358"/>
      <c r="J116" s="358"/>
      <c r="K116" s="358"/>
      <c r="L116" s="358"/>
    </row>
    <row r="117" spans="1:12">
      <c r="A117" s="476" t="s">
        <v>230</v>
      </c>
      <c r="B117" s="473" t="str">
        <f>+B36</f>
        <v>Grade I</v>
      </c>
      <c r="C117" s="473">
        <v>0</v>
      </c>
      <c r="D117" s="358">
        <f>ROUND(C117*1.05,-1)</f>
        <v>0</v>
      </c>
      <c r="E117" s="358">
        <f>ROUND(D117*1.05,-1)</f>
        <v>0</v>
      </c>
      <c r="F117" s="358">
        <f t="shared" ref="F117:L118" si="8">ROUND(E117*1.05,-1)</f>
        <v>0</v>
      </c>
      <c r="G117" s="358">
        <f t="shared" si="8"/>
        <v>0</v>
      </c>
      <c r="H117" s="358">
        <f t="shared" si="8"/>
        <v>0</v>
      </c>
      <c r="I117" s="358">
        <f t="shared" si="8"/>
        <v>0</v>
      </c>
      <c r="J117" s="358">
        <f t="shared" si="8"/>
        <v>0</v>
      </c>
      <c r="K117" s="358">
        <f t="shared" si="8"/>
        <v>0</v>
      </c>
      <c r="L117" s="358">
        <f t="shared" si="8"/>
        <v>0</v>
      </c>
    </row>
    <row r="118" spans="1:12">
      <c r="A118" s="476" t="s">
        <v>231</v>
      </c>
      <c r="B118" s="473" t="str">
        <f>+B37</f>
        <v>Grade II</v>
      </c>
      <c r="C118" s="473">
        <v>0</v>
      </c>
      <c r="D118" s="358">
        <f>ROUND(C118*1.05,-1)</f>
        <v>0</v>
      </c>
      <c r="E118" s="358">
        <f t="shared" ref="E118" si="9">ROUND(D118*1.05,-1)</f>
        <v>0</v>
      </c>
      <c r="F118" s="358">
        <f t="shared" si="8"/>
        <v>0</v>
      </c>
      <c r="G118" s="358">
        <f t="shared" si="8"/>
        <v>0</v>
      </c>
      <c r="H118" s="358">
        <f t="shared" si="8"/>
        <v>0</v>
      </c>
      <c r="I118" s="358">
        <f t="shared" si="8"/>
        <v>0</v>
      </c>
      <c r="J118" s="358">
        <f t="shared" si="8"/>
        <v>0</v>
      </c>
      <c r="K118" s="358">
        <f t="shared" si="8"/>
        <v>0</v>
      </c>
      <c r="L118" s="358">
        <f t="shared" si="8"/>
        <v>0</v>
      </c>
    </row>
    <row r="119" spans="1:12">
      <c r="A119" s="476" t="s">
        <v>267</v>
      </c>
      <c r="B119" s="473" t="str">
        <f>+B38</f>
        <v>Waste</v>
      </c>
    </row>
    <row r="120" spans="1:12" hidden="1">
      <c r="A120" s="476"/>
    </row>
    <row r="121" spans="1:12" hidden="1">
      <c r="A121" s="476"/>
      <c r="B121" s="475" t="s">
        <v>676</v>
      </c>
    </row>
    <row r="122" spans="1:12" hidden="1">
      <c r="A122" s="476"/>
      <c r="B122" s="473" t="s">
        <v>655</v>
      </c>
      <c r="C122" s="473">
        <v>0</v>
      </c>
      <c r="D122" s="358">
        <f t="shared" ref="D122:L122" si="10">ROUND(C122*1.05,-1)</f>
        <v>0</v>
      </c>
      <c r="E122" s="358">
        <f t="shared" si="10"/>
        <v>0</v>
      </c>
      <c r="F122" s="358">
        <f t="shared" si="10"/>
        <v>0</v>
      </c>
      <c r="G122" s="358">
        <f t="shared" si="10"/>
        <v>0</v>
      </c>
      <c r="H122" s="358">
        <f t="shared" si="10"/>
        <v>0</v>
      </c>
      <c r="I122" s="358">
        <f t="shared" si="10"/>
        <v>0</v>
      </c>
      <c r="J122" s="358">
        <f t="shared" si="10"/>
        <v>0</v>
      </c>
      <c r="K122" s="358">
        <f t="shared" si="10"/>
        <v>0</v>
      </c>
      <c r="L122" s="358">
        <f t="shared" si="10"/>
        <v>0</v>
      </c>
    </row>
    <row r="123" spans="1:12">
      <c r="A123" s="476"/>
    </row>
    <row r="124" spans="1:12">
      <c r="A124" s="476"/>
      <c r="B124" s="475" t="s">
        <v>906</v>
      </c>
    </row>
    <row r="125" spans="1:12">
      <c r="A125" s="476" t="s">
        <v>230</v>
      </c>
      <c r="B125" s="473" t="str">
        <f>+B43</f>
        <v>Grade I</v>
      </c>
      <c r="C125" s="486">
        <v>0</v>
      </c>
      <c r="D125" s="358">
        <f>ROUND(C125*1.05,-1)</f>
        <v>0</v>
      </c>
      <c r="E125" s="358">
        <f t="shared" ref="E125:L125" si="11">ROUND(D125*1.05,-1)</f>
        <v>0</v>
      </c>
      <c r="F125" s="358">
        <f t="shared" si="11"/>
        <v>0</v>
      </c>
      <c r="G125" s="358">
        <f t="shared" si="11"/>
        <v>0</v>
      </c>
      <c r="H125" s="358">
        <f t="shared" si="11"/>
        <v>0</v>
      </c>
      <c r="I125" s="358">
        <f t="shared" si="11"/>
        <v>0</v>
      </c>
      <c r="J125" s="358">
        <f t="shared" si="11"/>
        <v>0</v>
      </c>
      <c r="K125" s="358">
        <f t="shared" si="11"/>
        <v>0</v>
      </c>
      <c r="L125" s="358">
        <f t="shared" si="11"/>
        <v>0</v>
      </c>
    </row>
    <row r="126" spans="1:12">
      <c r="A126" s="476" t="s">
        <v>231</v>
      </c>
      <c r="B126" s="473" t="str">
        <f>+B44</f>
        <v>Grade II</v>
      </c>
      <c r="C126" s="486">
        <v>0</v>
      </c>
      <c r="D126" s="358">
        <f>ROUND(C126*1.05,-1)</f>
        <v>0</v>
      </c>
      <c r="E126" s="358">
        <f t="shared" ref="E126" si="12">ROUND(D126*1.05,-1)</f>
        <v>0</v>
      </c>
      <c r="F126" s="358">
        <f t="shared" ref="F126" si="13">ROUND(E126*1.05,-1)</f>
        <v>0</v>
      </c>
      <c r="G126" s="358">
        <f t="shared" ref="G126" si="14">ROUND(F126*1.05,-1)</f>
        <v>0</v>
      </c>
      <c r="H126" s="358">
        <f t="shared" ref="H126" si="15">ROUND(G126*1.05,-1)</f>
        <v>0</v>
      </c>
      <c r="I126" s="358">
        <f t="shared" ref="I126" si="16">ROUND(H126*1.05,-1)</f>
        <v>0</v>
      </c>
      <c r="J126" s="358">
        <f t="shared" ref="J126" si="17">ROUND(I126*1.05,-1)</f>
        <v>0</v>
      </c>
      <c r="K126" s="358">
        <f t="shared" ref="K126" si="18">ROUND(J126*1.05,-1)</f>
        <v>0</v>
      </c>
      <c r="L126" s="358">
        <f t="shared" ref="L126" si="19">ROUND(K126*1.05,-1)</f>
        <v>0</v>
      </c>
    </row>
    <row r="127" spans="1:12">
      <c r="A127" s="476" t="s">
        <v>267</v>
      </c>
      <c r="B127" s="473" t="str">
        <f>+B45</f>
        <v>Waste</v>
      </c>
      <c r="C127" s="486"/>
      <c r="D127" s="358"/>
      <c r="E127" s="358"/>
      <c r="F127" s="358"/>
      <c r="G127" s="358"/>
      <c r="H127" s="358"/>
      <c r="I127" s="358"/>
      <c r="J127" s="358"/>
      <c r="K127" s="358"/>
      <c r="L127" s="358"/>
    </row>
    <row r="128" spans="1:12">
      <c r="A128" s="476"/>
    </row>
    <row r="129" spans="1:12">
      <c r="A129" s="476"/>
      <c r="B129" s="475" t="s">
        <v>902</v>
      </c>
    </row>
    <row r="130" spans="1:12">
      <c r="A130" s="476"/>
      <c r="B130" s="473" t="s">
        <v>655</v>
      </c>
      <c r="C130" s="358">
        <v>0</v>
      </c>
      <c r="D130" s="358">
        <f t="shared" ref="D130" si="20">ROUND(C130*1.05,-1)</f>
        <v>0</v>
      </c>
      <c r="E130" s="358">
        <f t="shared" ref="E130:L130" si="21">ROUND(D130*1.05,-1)</f>
        <v>0</v>
      </c>
      <c r="F130" s="358">
        <f t="shared" si="21"/>
        <v>0</v>
      </c>
      <c r="G130" s="358">
        <f t="shared" si="21"/>
        <v>0</v>
      </c>
      <c r="H130" s="358">
        <f t="shared" si="21"/>
        <v>0</v>
      </c>
      <c r="I130" s="358">
        <f t="shared" si="21"/>
        <v>0</v>
      </c>
      <c r="J130" s="358">
        <f t="shared" si="21"/>
        <v>0</v>
      </c>
      <c r="K130" s="358">
        <f t="shared" si="21"/>
        <v>0</v>
      </c>
      <c r="L130" s="358">
        <f t="shared" si="21"/>
        <v>0</v>
      </c>
    </row>
    <row r="131" spans="1:12">
      <c r="A131" s="476"/>
      <c r="B131" s="473" t="s">
        <v>656</v>
      </c>
      <c r="C131" s="358">
        <v>0</v>
      </c>
      <c r="D131" s="358">
        <f t="shared" ref="D131:L131" si="22">ROUND(C131*1.05,-1)</f>
        <v>0</v>
      </c>
      <c r="E131" s="358">
        <f t="shared" si="22"/>
        <v>0</v>
      </c>
      <c r="F131" s="358">
        <f t="shared" si="22"/>
        <v>0</v>
      </c>
      <c r="G131" s="358">
        <f t="shared" si="22"/>
        <v>0</v>
      </c>
      <c r="H131" s="358">
        <f t="shared" si="22"/>
        <v>0</v>
      </c>
      <c r="I131" s="358">
        <f t="shared" si="22"/>
        <v>0</v>
      </c>
      <c r="J131" s="358">
        <f t="shared" si="22"/>
        <v>0</v>
      </c>
      <c r="K131" s="358">
        <f t="shared" si="22"/>
        <v>0</v>
      </c>
      <c r="L131" s="358">
        <f t="shared" si="22"/>
        <v>0</v>
      </c>
    </row>
    <row r="132" spans="1:12">
      <c r="A132" s="476"/>
      <c r="B132" s="473" t="s">
        <v>664</v>
      </c>
      <c r="C132" s="358">
        <v>0</v>
      </c>
      <c r="D132" s="358">
        <f t="shared" ref="D132:L132" si="23">ROUND(C132*1.05,-1)</f>
        <v>0</v>
      </c>
      <c r="E132" s="358">
        <f t="shared" si="23"/>
        <v>0</v>
      </c>
      <c r="F132" s="358">
        <f t="shared" si="23"/>
        <v>0</v>
      </c>
      <c r="G132" s="358">
        <f t="shared" si="23"/>
        <v>0</v>
      </c>
      <c r="H132" s="358">
        <f t="shared" si="23"/>
        <v>0</v>
      </c>
      <c r="I132" s="358">
        <f t="shared" si="23"/>
        <v>0</v>
      </c>
      <c r="J132" s="358">
        <f t="shared" si="23"/>
        <v>0</v>
      </c>
      <c r="K132" s="358">
        <f t="shared" si="23"/>
        <v>0</v>
      </c>
      <c r="L132" s="358">
        <f t="shared" si="23"/>
        <v>0</v>
      </c>
    </row>
    <row r="133" spans="1:12">
      <c r="A133" s="476"/>
      <c r="C133" s="358"/>
      <c r="D133" s="358"/>
      <c r="E133" s="358"/>
      <c r="F133" s="358"/>
      <c r="G133" s="358"/>
      <c r="H133" s="358"/>
      <c r="I133" s="358"/>
      <c r="J133" s="358"/>
      <c r="K133" s="358"/>
      <c r="L133" s="358"/>
    </row>
    <row r="134" spans="1:12">
      <c r="A134" s="476"/>
      <c r="B134" s="475" t="str">
        <f>+B109</f>
        <v>Paddy</v>
      </c>
      <c r="C134" s="358"/>
      <c r="D134" s="358"/>
      <c r="E134" s="358"/>
      <c r="F134" s="358"/>
      <c r="G134" s="358"/>
      <c r="H134" s="358"/>
      <c r="I134" s="358"/>
      <c r="J134" s="358"/>
      <c r="K134" s="358"/>
      <c r="L134" s="358"/>
    </row>
    <row r="135" spans="1:12">
      <c r="A135" s="476"/>
      <c r="B135" s="473" t="str">
        <f>+B58</f>
        <v>Paddy Dal</v>
      </c>
      <c r="C135" s="358">
        <v>0</v>
      </c>
      <c r="D135" s="358">
        <f t="shared" ref="D135:D136" si="24">ROUND(C135*1.05,-1)</f>
        <v>0</v>
      </c>
      <c r="E135" s="358">
        <f t="shared" ref="E135:E136" si="25">ROUND(D135*1.05,-1)</f>
        <v>0</v>
      </c>
      <c r="F135" s="358">
        <f t="shared" ref="F135:F136" si="26">ROUND(E135*1.05,-1)</f>
        <v>0</v>
      </c>
      <c r="G135" s="358">
        <f t="shared" ref="G135:G136" si="27">ROUND(F135*1.05,-1)</f>
        <v>0</v>
      </c>
      <c r="H135" s="358">
        <f t="shared" ref="H135:H136" si="28">ROUND(G135*1.05,-1)</f>
        <v>0</v>
      </c>
      <c r="I135" s="358">
        <f t="shared" ref="I135:I136" si="29">ROUND(H135*1.05,-1)</f>
        <v>0</v>
      </c>
      <c r="J135" s="358">
        <f t="shared" ref="J135:J136" si="30">ROUND(I135*1.05,-1)</f>
        <v>0</v>
      </c>
      <c r="K135" s="358">
        <f t="shared" ref="K135:K136" si="31">ROUND(J135*1.05,-1)</f>
        <v>0</v>
      </c>
      <c r="L135" s="358">
        <f t="shared" ref="L135:L136" si="32">ROUND(K135*1.05,-1)</f>
        <v>0</v>
      </c>
    </row>
    <row r="136" spans="1:12">
      <c r="A136" s="476"/>
      <c r="B136" s="473" t="str">
        <f>+B59</f>
        <v>Husk/ Cattle Feed</v>
      </c>
      <c r="C136" s="358">
        <v>0</v>
      </c>
      <c r="D136" s="358">
        <f t="shared" si="24"/>
        <v>0</v>
      </c>
      <c r="E136" s="358">
        <f t="shared" si="25"/>
        <v>0</v>
      </c>
      <c r="F136" s="358">
        <f t="shared" si="26"/>
        <v>0</v>
      </c>
      <c r="G136" s="358">
        <f t="shared" si="27"/>
        <v>0</v>
      </c>
      <c r="H136" s="358">
        <f t="shared" si="28"/>
        <v>0</v>
      </c>
      <c r="I136" s="358">
        <f t="shared" si="29"/>
        <v>0</v>
      </c>
      <c r="J136" s="358">
        <f t="shared" si="30"/>
        <v>0</v>
      </c>
      <c r="K136" s="358">
        <f t="shared" si="31"/>
        <v>0</v>
      </c>
      <c r="L136" s="358">
        <f t="shared" si="32"/>
        <v>0</v>
      </c>
    </row>
    <row r="137" spans="1:12">
      <c r="A137" s="476"/>
    </row>
    <row r="138" spans="1:12" hidden="1">
      <c r="A138" s="476"/>
      <c r="B138" s="475" t="s">
        <v>472</v>
      </c>
    </row>
    <row r="139" spans="1:12" hidden="1">
      <c r="A139" s="476"/>
      <c r="B139" s="473" t="s">
        <v>667</v>
      </c>
      <c r="C139" s="358">
        <v>0</v>
      </c>
      <c r="D139" s="358">
        <f t="shared" ref="D139:L140" si="33">ROUND(C139*1.05,-1)</f>
        <v>0</v>
      </c>
      <c r="E139" s="358">
        <f t="shared" si="33"/>
        <v>0</v>
      </c>
      <c r="F139" s="358">
        <f t="shared" si="33"/>
        <v>0</v>
      </c>
      <c r="G139" s="358">
        <f t="shared" si="33"/>
        <v>0</v>
      </c>
      <c r="H139" s="358">
        <f t="shared" si="33"/>
        <v>0</v>
      </c>
      <c r="I139" s="358">
        <f t="shared" si="33"/>
        <v>0</v>
      </c>
      <c r="J139" s="358">
        <f t="shared" si="33"/>
        <v>0</v>
      </c>
      <c r="K139" s="358">
        <f t="shared" si="33"/>
        <v>0</v>
      </c>
      <c r="L139" s="358">
        <f t="shared" si="33"/>
        <v>0</v>
      </c>
    </row>
    <row r="140" spans="1:12" hidden="1">
      <c r="A140" s="476"/>
      <c r="B140" s="473" t="s">
        <v>668</v>
      </c>
      <c r="C140" s="358">
        <v>0</v>
      </c>
      <c r="D140" s="358">
        <f t="shared" si="33"/>
        <v>0</v>
      </c>
      <c r="E140" s="358">
        <f t="shared" si="33"/>
        <v>0</v>
      </c>
      <c r="F140" s="358">
        <f t="shared" si="33"/>
        <v>0</v>
      </c>
      <c r="G140" s="358">
        <f t="shared" si="33"/>
        <v>0</v>
      </c>
      <c r="H140" s="358">
        <f t="shared" si="33"/>
        <v>0</v>
      </c>
      <c r="I140" s="358">
        <f t="shared" si="33"/>
        <v>0</v>
      </c>
      <c r="J140" s="358">
        <f t="shared" si="33"/>
        <v>0</v>
      </c>
      <c r="K140" s="358">
        <f t="shared" si="33"/>
        <v>0</v>
      </c>
      <c r="L140" s="358">
        <f t="shared" si="33"/>
        <v>0</v>
      </c>
    </row>
    <row r="141" spans="1:12">
      <c r="A141" s="476"/>
      <c r="B141" s="475" t="str">
        <f>+B116</f>
        <v>Moong</v>
      </c>
      <c r="C141" s="358"/>
      <c r="D141" s="358"/>
      <c r="E141" s="358"/>
      <c r="F141" s="358"/>
      <c r="G141" s="358"/>
      <c r="H141" s="358"/>
      <c r="I141" s="358"/>
      <c r="J141" s="358"/>
      <c r="K141" s="358"/>
      <c r="L141" s="358"/>
    </row>
    <row r="142" spans="1:12">
      <c r="B142" s="473" t="str">
        <f>+B64</f>
        <v>Moong Dal</v>
      </c>
      <c r="C142" s="358">
        <v>0</v>
      </c>
      <c r="D142" s="358">
        <f t="shared" ref="D142:D143" si="34">ROUND(C142*1.05,-1)</f>
        <v>0</v>
      </c>
      <c r="E142" s="358">
        <f t="shared" ref="E142:E143" si="35">ROUND(D142*1.05,-1)</f>
        <v>0</v>
      </c>
      <c r="F142" s="358">
        <f t="shared" ref="F142:F143" si="36">ROUND(E142*1.05,-1)</f>
        <v>0</v>
      </c>
      <c r="G142" s="358">
        <f t="shared" ref="G142:G143" si="37">ROUND(F142*1.05,-1)</f>
        <v>0</v>
      </c>
      <c r="H142" s="358">
        <f t="shared" ref="H142:H143" si="38">ROUND(G142*1.05,-1)</f>
        <v>0</v>
      </c>
      <c r="I142" s="358">
        <f t="shared" ref="I142:I143" si="39">ROUND(H142*1.05,-1)</f>
        <v>0</v>
      </c>
      <c r="J142" s="358">
        <f t="shared" ref="J142:J143" si="40">ROUND(I142*1.05,-1)</f>
        <v>0</v>
      </c>
      <c r="K142" s="358">
        <f t="shared" ref="K142:K143" si="41">ROUND(J142*1.05,-1)</f>
        <v>0</v>
      </c>
      <c r="L142" s="358">
        <f t="shared" ref="L142:L143" si="42">ROUND(K142*1.05,-1)</f>
        <v>0</v>
      </c>
    </row>
    <row r="143" spans="1:12">
      <c r="B143" s="473" t="str">
        <f>+B65</f>
        <v>Husk/ Cattle Feed</v>
      </c>
      <c r="C143" s="358">
        <v>0</v>
      </c>
      <c r="D143" s="358">
        <f t="shared" si="34"/>
        <v>0</v>
      </c>
      <c r="E143" s="358">
        <f t="shared" si="35"/>
        <v>0</v>
      </c>
      <c r="F143" s="358">
        <f t="shared" si="36"/>
        <v>0</v>
      </c>
      <c r="G143" s="358">
        <f t="shared" si="37"/>
        <v>0</v>
      </c>
      <c r="H143" s="358">
        <f t="shared" si="38"/>
        <v>0</v>
      </c>
      <c r="I143" s="358">
        <f t="shared" si="39"/>
        <v>0</v>
      </c>
      <c r="J143" s="358">
        <f t="shared" si="40"/>
        <v>0</v>
      </c>
      <c r="K143" s="358">
        <f t="shared" si="41"/>
        <v>0</v>
      </c>
      <c r="L143" s="358">
        <f t="shared" si="42"/>
        <v>0</v>
      </c>
    </row>
    <row r="145" spans="1:12">
      <c r="B145" s="475" t="str">
        <f>+B124</f>
        <v>Udad</v>
      </c>
    </row>
    <row r="146" spans="1:12">
      <c r="B146" s="473" t="str">
        <f>+B70</f>
        <v>Udad Dal</v>
      </c>
      <c r="C146" s="358">
        <v>0</v>
      </c>
      <c r="D146" s="358">
        <f t="shared" ref="D146:D147" si="43">ROUND(C146*1.05,-1)</f>
        <v>0</v>
      </c>
      <c r="E146" s="358">
        <f t="shared" ref="E146:E147" si="44">ROUND(D146*1.05,-1)</f>
        <v>0</v>
      </c>
      <c r="F146" s="358">
        <f t="shared" ref="F146:F147" si="45">ROUND(E146*1.05,-1)</f>
        <v>0</v>
      </c>
      <c r="G146" s="358">
        <f t="shared" ref="G146:G147" si="46">ROUND(F146*1.05,-1)</f>
        <v>0</v>
      </c>
      <c r="H146" s="358">
        <f t="shared" ref="H146:H147" si="47">ROUND(G146*1.05,-1)</f>
        <v>0</v>
      </c>
      <c r="I146" s="358">
        <f t="shared" ref="I146:I147" si="48">ROUND(H146*1.05,-1)</f>
        <v>0</v>
      </c>
      <c r="J146" s="358">
        <f t="shared" ref="J146:J147" si="49">ROUND(I146*1.05,-1)</f>
        <v>0</v>
      </c>
      <c r="K146" s="358">
        <f t="shared" ref="K146:K147" si="50">ROUND(J146*1.05,-1)</f>
        <v>0</v>
      </c>
      <c r="L146" s="358">
        <f t="shared" ref="L146:L147" si="51">ROUND(K146*1.05,-1)</f>
        <v>0</v>
      </c>
    </row>
    <row r="147" spans="1:12">
      <c r="B147" s="473" t="str">
        <f>+B71</f>
        <v>Husk/ Cattle Feed</v>
      </c>
      <c r="C147" s="358">
        <v>0</v>
      </c>
      <c r="D147" s="358">
        <f t="shared" si="43"/>
        <v>0</v>
      </c>
      <c r="E147" s="358">
        <f t="shared" si="44"/>
        <v>0</v>
      </c>
      <c r="F147" s="358">
        <f t="shared" si="45"/>
        <v>0</v>
      </c>
      <c r="G147" s="358">
        <f t="shared" si="46"/>
        <v>0</v>
      </c>
      <c r="H147" s="358">
        <f t="shared" si="47"/>
        <v>0</v>
      </c>
      <c r="I147" s="358">
        <f t="shared" si="48"/>
        <v>0</v>
      </c>
      <c r="J147" s="358">
        <f t="shared" si="49"/>
        <v>0</v>
      </c>
      <c r="K147" s="358">
        <f t="shared" si="50"/>
        <v>0</v>
      </c>
      <c r="L147" s="358">
        <f t="shared" si="51"/>
        <v>0</v>
      </c>
    </row>
    <row r="149" spans="1:12">
      <c r="B149" s="475" t="str">
        <f>+B129</f>
        <v>Tur</v>
      </c>
    </row>
    <row r="150" spans="1:12">
      <c r="B150" s="473" t="str">
        <f>+B76</f>
        <v>Tur Dal</v>
      </c>
      <c r="C150" s="358">
        <v>0</v>
      </c>
      <c r="D150" s="358">
        <f t="shared" ref="D150:D151" si="52">ROUND(C150*1.05,-1)</f>
        <v>0</v>
      </c>
      <c r="E150" s="358">
        <f t="shared" ref="E150:E151" si="53">ROUND(D150*1.05,-1)</f>
        <v>0</v>
      </c>
      <c r="F150" s="358">
        <f t="shared" ref="F150:F151" si="54">ROUND(E150*1.05,-1)</f>
        <v>0</v>
      </c>
      <c r="G150" s="358">
        <f t="shared" ref="G150:G151" si="55">ROUND(F150*1.05,-1)</f>
        <v>0</v>
      </c>
      <c r="H150" s="358">
        <f t="shared" ref="H150:H151" si="56">ROUND(G150*1.05,-1)</f>
        <v>0</v>
      </c>
      <c r="I150" s="358">
        <f t="shared" ref="I150:I151" si="57">ROUND(H150*1.05,-1)</f>
        <v>0</v>
      </c>
      <c r="J150" s="358">
        <f t="shared" ref="J150:J151" si="58">ROUND(I150*1.05,-1)</f>
        <v>0</v>
      </c>
      <c r="K150" s="358">
        <f t="shared" ref="K150:K151" si="59">ROUND(J150*1.05,-1)</f>
        <v>0</v>
      </c>
      <c r="L150" s="358">
        <f t="shared" ref="L150:L151" si="60">ROUND(K150*1.05,-1)</f>
        <v>0</v>
      </c>
    </row>
    <row r="151" spans="1:12">
      <c r="B151" s="473" t="str">
        <f>+B77</f>
        <v>Husk/ Cattle Feed</v>
      </c>
      <c r="C151" s="358">
        <v>0</v>
      </c>
      <c r="D151" s="358">
        <f t="shared" si="52"/>
        <v>0</v>
      </c>
      <c r="E151" s="358">
        <f t="shared" si="53"/>
        <v>0</v>
      </c>
      <c r="F151" s="358">
        <f t="shared" si="54"/>
        <v>0</v>
      </c>
      <c r="G151" s="358">
        <f t="shared" si="55"/>
        <v>0</v>
      </c>
      <c r="H151" s="358">
        <f t="shared" si="56"/>
        <v>0</v>
      </c>
      <c r="I151" s="358">
        <f t="shared" si="57"/>
        <v>0</v>
      </c>
      <c r="J151" s="358">
        <f t="shared" si="58"/>
        <v>0</v>
      </c>
      <c r="K151" s="358">
        <f t="shared" si="59"/>
        <v>0</v>
      </c>
      <c r="L151" s="358">
        <f t="shared" si="60"/>
        <v>0</v>
      </c>
    </row>
    <row r="154" spans="1:12">
      <c r="A154" s="477">
        <v>13</v>
      </c>
      <c r="B154" s="475" t="s">
        <v>847</v>
      </c>
      <c r="C154" s="479">
        <v>0.09</v>
      </c>
    </row>
    <row r="156" spans="1:12">
      <c r="A156" s="477">
        <v>14</v>
      </c>
      <c r="B156" s="475" t="s">
        <v>848</v>
      </c>
      <c r="C156" s="473" t="s">
        <v>915</v>
      </c>
    </row>
    <row r="158" spans="1:12">
      <c r="A158" s="477">
        <v>13</v>
      </c>
      <c r="B158" s="475" t="s">
        <v>849</v>
      </c>
      <c r="C158" s="478">
        <v>0.26</v>
      </c>
    </row>
    <row r="160" spans="1:12">
      <c r="A160" s="477">
        <v>14</v>
      </c>
      <c r="B160" s="475" t="s">
        <v>850</v>
      </c>
      <c r="C160" s="473" t="s">
        <v>838</v>
      </c>
    </row>
    <row r="162" spans="1:10">
      <c r="A162" s="477">
        <v>15</v>
      </c>
      <c r="B162" s="475" t="s">
        <v>851</v>
      </c>
      <c r="C162" s="473" t="s">
        <v>856</v>
      </c>
    </row>
    <row r="164" spans="1:10">
      <c r="A164" s="477">
        <v>16</v>
      </c>
      <c r="B164" s="473" t="s">
        <v>859</v>
      </c>
    </row>
    <row r="165" spans="1:10">
      <c r="B165" s="281" t="s">
        <v>688</v>
      </c>
      <c r="C165" s="487">
        <v>0</v>
      </c>
    </row>
    <row r="166" spans="1:10">
      <c r="B166" s="284" t="s">
        <v>689</v>
      </c>
      <c r="C166" s="298">
        <v>15</v>
      </c>
    </row>
    <row r="167" spans="1:10">
      <c r="B167" s="284" t="s">
        <v>690</v>
      </c>
      <c r="C167" s="298">
        <v>12</v>
      </c>
    </row>
    <row r="168" spans="1:10">
      <c r="B168" s="284" t="s">
        <v>698</v>
      </c>
      <c r="C168" s="300">
        <v>0</v>
      </c>
    </row>
    <row r="170" spans="1:10">
      <c r="B170" s="304" t="s">
        <v>292</v>
      </c>
      <c r="C170" s="305">
        <v>0.55000000000000004</v>
      </c>
      <c r="D170" s="305">
        <f t="shared" ref="D170:I170" si="61">+C170+5%</f>
        <v>0.60000000000000009</v>
      </c>
      <c r="E170" s="305">
        <f t="shared" si="61"/>
        <v>0.65000000000000013</v>
      </c>
      <c r="F170" s="305">
        <f t="shared" si="61"/>
        <v>0.70000000000000018</v>
      </c>
      <c r="G170" s="305">
        <f t="shared" si="61"/>
        <v>0.75000000000000022</v>
      </c>
      <c r="H170" s="305">
        <f t="shared" si="61"/>
        <v>0.80000000000000027</v>
      </c>
      <c r="I170" s="305">
        <f t="shared" si="61"/>
        <v>0.85000000000000031</v>
      </c>
    </row>
    <row r="176" spans="1:10" customFormat="1" ht="28.5">
      <c r="A176" s="468"/>
      <c r="B176" s="457" t="s">
        <v>767</v>
      </c>
      <c r="D176" s="310"/>
      <c r="E176" s="310"/>
      <c r="F176" s="310"/>
      <c r="G176" s="310"/>
      <c r="H176" s="310"/>
      <c r="I176" s="310"/>
      <c r="J176" s="310"/>
    </row>
    <row r="177" spans="2:12" customFormat="1" ht="26.25">
      <c r="B177" s="462" t="s">
        <v>768</v>
      </c>
      <c r="C177" s="462" t="s">
        <v>0</v>
      </c>
      <c r="D177" s="463" t="s">
        <v>769</v>
      </c>
      <c r="E177" s="463"/>
      <c r="F177" s="463" t="s">
        <v>379</v>
      </c>
      <c r="G177" s="464" t="s">
        <v>770</v>
      </c>
      <c r="H177" s="464" t="s">
        <v>771</v>
      </c>
    </row>
    <row r="178" spans="2:12" customFormat="1">
      <c r="B178" s="376">
        <v>1</v>
      </c>
      <c r="C178" s="312" t="s">
        <v>772</v>
      </c>
      <c r="D178" s="376" t="s">
        <v>773</v>
      </c>
      <c r="E178" s="376" t="s">
        <v>774</v>
      </c>
      <c r="F178" s="376">
        <v>0</v>
      </c>
      <c r="G178" s="313">
        <v>40000</v>
      </c>
      <c r="H178" s="313">
        <f t="shared" ref="H178:H184" si="62">F178*G178*12/100000</f>
        <v>0</v>
      </c>
    </row>
    <row r="179" spans="2:12" customFormat="1">
      <c r="B179" s="376">
        <v>2</v>
      </c>
      <c r="C179" s="312" t="s">
        <v>775</v>
      </c>
      <c r="D179" s="376" t="s">
        <v>773</v>
      </c>
      <c r="E179" s="376" t="s">
        <v>776</v>
      </c>
      <c r="F179" s="376">
        <v>0</v>
      </c>
      <c r="G179" s="313">
        <v>18000</v>
      </c>
      <c r="H179" s="313">
        <f t="shared" si="62"/>
        <v>0</v>
      </c>
    </row>
    <row r="180" spans="2:12" customFormat="1" ht="26.25">
      <c r="B180" s="376">
        <v>3</v>
      </c>
      <c r="C180" s="312" t="s">
        <v>777</v>
      </c>
      <c r="D180" s="376" t="s">
        <v>773</v>
      </c>
      <c r="E180" s="376" t="s">
        <v>776</v>
      </c>
      <c r="F180" s="376">
        <v>0</v>
      </c>
      <c r="G180" s="313">
        <v>18000</v>
      </c>
      <c r="H180" s="313">
        <f t="shared" si="62"/>
        <v>0</v>
      </c>
    </row>
    <row r="181" spans="2:12" customFormat="1">
      <c r="B181" s="376">
        <v>4</v>
      </c>
      <c r="C181" s="315" t="s">
        <v>778</v>
      </c>
      <c r="D181" s="376" t="s">
        <v>773</v>
      </c>
      <c r="E181" s="376" t="s">
        <v>774</v>
      </c>
      <c r="F181" s="376">
        <v>1</v>
      </c>
      <c r="G181" s="313">
        <v>9000</v>
      </c>
      <c r="H181" s="313">
        <f t="shared" si="62"/>
        <v>1.08</v>
      </c>
    </row>
    <row r="182" spans="2:12" customFormat="1">
      <c r="B182" s="376">
        <v>5</v>
      </c>
      <c r="C182" s="312" t="s">
        <v>184</v>
      </c>
      <c r="D182" s="376" t="s">
        <v>773</v>
      </c>
      <c r="E182" s="376" t="s">
        <v>776</v>
      </c>
      <c r="F182" s="376">
        <v>1</v>
      </c>
      <c r="G182" s="313">
        <v>6000</v>
      </c>
      <c r="H182" s="313">
        <f t="shared" si="62"/>
        <v>0.72</v>
      </c>
    </row>
    <row r="183" spans="2:12" customFormat="1">
      <c r="B183" s="376">
        <v>6</v>
      </c>
      <c r="C183" s="312" t="s">
        <v>779</v>
      </c>
      <c r="D183" s="376" t="s">
        <v>773</v>
      </c>
      <c r="E183" s="376" t="s">
        <v>776</v>
      </c>
      <c r="F183" s="376">
        <v>0</v>
      </c>
      <c r="G183" s="313">
        <v>9000</v>
      </c>
      <c r="H183" s="313">
        <f t="shared" si="62"/>
        <v>0</v>
      </c>
      <c r="K183">
        <v>600</v>
      </c>
    </row>
    <row r="184" spans="2:12" customFormat="1">
      <c r="B184" s="376">
        <v>7</v>
      </c>
      <c r="C184" s="312" t="s">
        <v>780</v>
      </c>
      <c r="D184" s="376" t="s">
        <v>773</v>
      </c>
      <c r="E184" s="376" t="s">
        <v>774</v>
      </c>
      <c r="F184" s="376">
        <v>1</v>
      </c>
      <c r="G184" s="313">
        <v>6000</v>
      </c>
      <c r="H184" s="313">
        <f t="shared" si="62"/>
        <v>0.72</v>
      </c>
    </row>
    <row r="185" spans="2:12" customFormat="1">
      <c r="B185" s="376"/>
      <c r="C185" s="312"/>
      <c r="D185" s="376"/>
      <c r="E185" s="376"/>
      <c r="F185" s="376"/>
      <c r="G185" s="313"/>
      <c r="H185" s="313"/>
    </row>
    <row r="186" spans="2:12" customFormat="1">
      <c r="B186" s="376">
        <v>8</v>
      </c>
      <c r="C186" s="312" t="s">
        <v>781</v>
      </c>
      <c r="D186" s="376" t="s">
        <v>782</v>
      </c>
      <c r="E186" s="376" t="s">
        <v>774</v>
      </c>
      <c r="F186" s="376">
        <v>1</v>
      </c>
      <c r="G186" s="313">
        <v>9000</v>
      </c>
      <c r="H186" s="313">
        <f t="shared" ref="H186:H192" si="63">F186*G186*12/100000</f>
        <v>1.08</v>
      </c>
    </row>
    <row r="187" spans="2:12" customFormat="1" ht="26.25">
      <c r="B187" s="376">
        <v>9</v>
      </c>
      <c r="C187" s="312" t="s">
        <v>783</v>
      </c>
      <c r="D187" s="376" t="s">
        <v>782</v>
      </c>
      <c r="E187" s="376" t="s">
        <v>774</v>
      </c>
      <c r="F187" s="376">
        <v>0</v>
      </c>
      <c r="G187" s="313">
        <v>15000</v>
      </c>
      <c r="H187" s="313">
        <f t="shared" si="63"/>
        <v>0</v>
      </c>
    </row>
    <row r="188" spans="2:12" customFormat="1">
      <c r="B188" s="376">
        <v>10</v>
      </c>
      <c r="C188" s="312" t="s">
        <v>784</v>
      </c>
      <c r="D188" s="376" t="s">
        <v>782</v>
      </c>
      <c r="E188" s="376" t="s">
        <v>785</v>
      </c>
      <c r="F188" s="376">
        <v>1</v>
      </c>
      <c r="G188" s="313">
        <v>7000</v>
      </c>
      <c r="H188" s="313">
        <f t="shared" si="63"/>
        <v>0.84</v>
      </c>
    </row>
    <row r="189" spans="2:12" customFormat="1">
      <c r="B189" s="376">
        <v>11</v>
      </c>
      <c r="C189" s="312" t="s">
        <v>786</v>
      </c>
      <c r="D189" s="376" t="s">
        <v>782</v>
      </c>
      <c r="E189" s="376" t="s">
        <v>774</v>
      </c>
      <c r="F189" s="376">
        <v>0</v>
      </c>
      <c r="G189" s="313">
        <v>10000</v>
      </c>
      <c r="H189" s="313">
        <f t="shared" si="63"/>
        <v>0</v>
      </c>
    </row>
    <row r="190" spans="2:12" customFormat="1">
      <c r="B190" s="376">
        <v>12</v>
      </c>
      <c r="C190" s="312" t="s">
        <v>787</v>
      </c>
      <c r="D190" s="376" t="s">
        <v>782</v>
      </c>
      <c r="E190" s="376"/>
      <c r="F190" s="376">
        <v>0</v>
      </c>
      <c r="G190" s="313">
        <v>8000</v>
      </c>
      <c r="H190" s="313">
        <f t="shared" si="63"/>
        <v>0</v>
      </c>
    </row>
    <row r="191" spans="2:12" customFormat="1">
      <c r="B191" s="376">
        <v>13</v>
      </c>
      <c r="C191" s="312" t="s">
        <v>788</v>
      </c>
      <c r="D191" s="376" t="s">
        <v>782</v>
      </c>
      <c r="E191" s="376" t="s">
        <v>774</v>
      </c>
      <c r="F191" s="376">
        <v>0</v>
      </c>
      <c r="G191" s="313">
        <v>11000</v>
      </c>
      <c r="H191" s="313">
        <f t="shared" si="63"/>
        <v>0</v>
      </c>
    </row>
    <row r="192" spans="2:12" customFormat="1">
      <c r="B192" s="376">
        <v>14</v>
      </c>
      <c r="C192" s="312" t="s">
        <v>789</v>
      </c>
      <c r="D192" s="376" t="s">
        <v>782</v>
      </c>
      <c r="E192" s="376" t="s">
        <v>785</v>
      </c>
      <c r="F192" s="376">
        <v>2</v>
      </c>
      <c r="G192" s="313">
        <v>0</v>
      </c>
      <c r="H192" s="313">
        <f t="shared" si="63"/>
        <v>0</v>
      </c>
      <c r="L192">
        <v>1.7</v>
      </c>
    </row>
    <row r="193" spans="2:12" customFormat="1">
      <c r="B193" s="312"/>
      <c r="C193" s="314" t="s">
        <v>1</v>
      </c>
      <c r="D193" s="376"/>
      <c r="E193" s="376"/>
      <c r="F193" s="377">
        <f>SUM(F178:F192)</f>
        <v>7</v>
      </c>
      <c r="G193" s="378"/>
      <c r="H193" s="378">
        <f>SUM(H178:H192)</f>
        <v>4.4400000000000004</v>
      </c>
    </row>
    <row r="194" spans="2:12" customFormat="1">
      <c r="B194" s="312"/>
      <c r="C194" s="312"/>
      <c r="D194" s="376"/>
      <c r="E194" s="376"/>
      <c r="F194" s="376"/>
      <c r="G194" s="313"/>
      <c r="H194" s="313"/>
    </row>
    <row r="195" spans="2:12" customFormat="1">
      <c r="B195" s="312"/>
      <c r="C195" s="314" t="s">
        <v>790</v>
      </c>
      <c r="D195" s="376" t="s">
        <v>782</v>
      </c>
      <c r="E195" s="376"/>
      <c r="F195" s="377">
        <v>10</v>
      </c>
      <c r="G195" s="379" t="s">
        <v>791</v>
      </c>
      <c r="H195" s="379" t="s">
        <v>2</v>
      </c>
    </row>
    <row r="196" spans="2:12" customFormat="1"/>
    <row r="197" spans="2:12" customFormat="1">
      <c r="B197" s="9"/>
      <c r="C197" s="9" t="s">
        <v>2</v>
      </c>
      <c r="D197" s="9" t="s">
        <v>3</v>
      </c>
      <c r="E197" s="9" t="s">
        <v>4</v>
      </c>
      <c r="F197" s="9" t="s">
        <v>5</v>
      </c>
      <c r="G197" s="9" t="s">
        <v>6</v>
      </c>
      <c r="H197" s="9" t="s">
        <v>164</v>
      </c>
      <c r="I197" s="275" t="s">
        <v>163</v>
      </c>
      <c r="J197" s="380"/>
    </row>
    <row r="198" spans="2:12" customFormat="1">
      <c r="B198" s="314" t="s">
        <v>790</v>
      </c>
      <c r="C198" s="9">
        <v>15</v>
      </c>
      <c r="D198" s="9">
        <f t="shared" ref="D198:I198" si="64">ROUND(C198*1.1,0)</f>
        <v>17</v>
      </c>
      <c r="E198" s="9">
        <f t="shared" si="64"/>
        <v>19</v>
      </c>
      <c r="F198" s="9">
        <f t="shared" si="64"/>
        <v>21</v>
      </c>
      <c r="G198" s="9">
        <f t="shared" si="64"/>
        <v>23</v>
      </c>
      <c r="H198" s="9">
        <f t="shared" si="64"/>
        <v>25</v>
      </c>
      <c r="I198" s="275">
        <f t="shared" si="64"/>
        <v>28</v>
      </c>
      <c r="J198" s="380"/>
    </row>
    <row r="199" spans="2:12" customFormat="1">
      <c r="D199" s="310"/>
      <c r="E199" s="310"/>
      <c r="F199" s="310"/>
      <c r="G199" s="310"/>
      <c r="H199" s="310"/>
      <c r="I199" s="310"/>
      <c r="J199" s="310"/>
    </row>
    <row r="200" spans="2:12" customFormat="1">
      <c r="D200" s="310"/>
      <c r="E200" s="310"/>
      <c r="F200" s="310"/>
      <c r="G200" s="310"/>
      <c r="H200" s="310"/>
      <c r="I200" s="310"/>
      <c r="J200" s="310"/>
    </row>
    <row r="201" spans="2:12" customFormat="1">
      <c r="D201" s="310"/>
      <c r="E201" s="310"/>
      <c r="F201" s="310"/>
      <c r="G201" s="310"/>
      <c r="H201" s="310"/>
      <c r="I201" s="310"/>
      <c r="J201" s="310"/>
    </row>
    <row r="202" spans="2:12" customFormat="1" ht="26.25">
      <c r="B202" s="461" t="s">
        <v>796</v>
      </c>
      <c r="C202" s="465"/>
      <c r="D202" s="466"/>
      <c r="E202" s="466"/>
      <c r="F202" s="310"/>
      <c r="G202" s="310"/>
      <c r="H202" s="310"/>
      <c r="I202" s="310"/>
      <c r="J202" s="310"/>
    </row>
    <row r="203" spans="2:12" customFormat="1">
      <c r="B203" s="678" t="s">
        <v>794</v>
      </c>
      <c r="C203" s="678"/>
      <c r="D203" s="678"/>
      <c r="E203" s="678"/>
      <c r="F203" s="310"/>
      <c r="G203" s="310"/>
      <c r="H203" s="310"/>
      <c r="I203" s="310"/>
      <c r="J203" s="310"/>
    </row>
    <row r="204" spans="2:12" customFormat="1">
      <c r="B204" s="312">
        <v>5</v>
      </c>
      <c r="C204" s="312">
        <v>200</v>
      </c>
      <c r="D204" s="312">
        <v>10</v>
      </c>
      <c r="E204" s="311">
        <f>B204*C204*D204</f>
        <v>10000</v>
      </c>
      <c r="F204" s="310"/>
      <c r="G204" s="310"/>
      <c r="H204" s="310"/>
      <c r="I204" s="310"/>
      <c r="J204" s="310"/>
    </row>
    <row r="205" spans="2:12" customFormat="1">
      <c r="B205" s="312"/>
      <c r="C205" s="312"/>
      <c r="D205" s="312"/>
      <c r="E205" s="311"/>
      <c r="F205" s="310"/>
      <c r="G205" s="310"/>
      <c r="H205" s="310"/>
      <c r="I205" s="310"/>
      <c r="J205" s="310"/>
    </row>
    <row r="206" spans="2:12" customFormat="1">
      <c r="B206" s="312">
        <v>36</v>
      </c>
      <c r="C206" s="312">
        <v>200</v>
      </c>
      <c r="D206" s="312">
        <v>10</v>
      </c>
      <c r="E206" s="312">
        <f>B206*C206*D206</f>
        <v>72000</v>
      </c>
      <c r="F206" s="310"/>
      <c r="G206" s="310"/>
      <c r="H206" s="310"/>
      <c r="I206" s="310"/>
      <c r="J206" s="310">
        <v>150</v>
      </c>
    </row>
    <row r="207" spans="2:12" customFormat="1">
      <c r="B207" s="679" t="s">
        <v>795</v>
      </c>
      <c r="C207" s="680"/>
      <c r="D207" s="680"/>
      <c r="E207" s="681"/>
      <c r="F207" s="310"/>
      <c r="G207" s="310"/>
      <c r="H207" s="310"/>
      <c r="I207" s="310"/>
      <c r="J207" s="310"/>
      <c r="K207">
        <v>200</v>
      </c>
      <c r="L207">
        <v>63</v>
      </c>
    </row>
    <row r="208" spans="2:12" customFormat="1">
      <c r="B208" s="312">
        <f>B206+B204</f>
        <v>41</v>
      </c>
      <c r="C208" s="312"/>
      <c r="D208" s="312"/>
      <c r="E208" s="312"/>
      <c r="F208" s="310"/>
      <c r="G208" s="310"/>
      <c r="H208" s="310"/>
      <c r="I208" s="310"/>
      <c r="J208" s="310"/>
      <c r="K208">
        <f>+K207/1.07</f>
        <v>186.91588785046727</v>
      </c>
      <c r="L208">
        <f>+L207*0.993</f>
        <v>62.558999999999997</v>
      </c>
    </row>
    <row r="209" spans="2:10" customFormat="1">
      <c r="B209" s="312"/>
      <c r="C209" s="312"/>
      <c r="D209" s="312"/>
      <c r="E209" s="312"/>
      <c r="F209" s="310"/>
      <c r="G209" s="310"/>
      <c r="H209" s="310"/>
      <c r="I209" s="310"/>
      <c r="J209" s="310"/>
    </row>
    <row r="210" spans="2:10" customFormat="1">
      <c r="B210" s="312">
        <v>0.8</v>
      </c>
      <c r="C210" s="312"/>
      <c r="D210" s="312"/>
      <c r="E210" s="312"/>
      <c r="F210" s="310"/>
      <c r="G210" s="310"/>
      <c r="H210" s="310"/>
      <c r="I210" s="310"/>
      <c r="J210" s="310"/>
    </row>
    <row r="211" spans="2:10" customFormat="1">
      <c r="B211" s="312">
        <v>0.8</v>
      </c>
      <c r="C211" s="312"/>
      <c r="D211" s="312"/>
      <c r="E211" s="312"/>
      <c r="F211" s="310"/>
      <c r="G211" s="310"/>
      <c r="H211" s="310"/>
      <c r="I211" s="310"/>
      <c r="J211" s="310"/>
    </row>
    <row r="212" spans="2:10" customFormat="1">
      <c r="B212" s="312">
        <v>10</v>
      </c>
      <c r="C212" s="312"/>
      <c r="D212" s="312"/>
      <c r="E212" s="312"/>
      <c r="F212" s="310"/>
      <c r="G212" s="310"/>
      <c r="H212" s="310"/>
      <c r="I212" s="310"/>
      <c r="J212" s="310"/>
    </row>
    <row r="213" spans="2:10" customFormat="1">
      <c r="B213" s="312">
        <v>10</v>
      </c>
      <c r="C213" s="312"/>
      <c r="D213" s="312"/>
      <c r="E213" s="312"/>
      <c r="F213" s="310"/>
      <c r="G213" s="310"/>
      <c r="H213" s="310"/>
      <c r="I213" s="310"/>
      <c r="J213" s="310"/>
    </row>
    <row r="214" spans="2:10" customFormat="1">
      <c r="B214" s="311">
        <f>B208*B210*B211*B212*B213</f>
        <v>2624.0000000000005</v>
      </c>
      <c r="C214" s="312"/>
      <c r="D214" s="312"/>
      <c r="E214" s="312"/>
      <c r="F214" s="310"/>
      <c r="G214" s="310"/>
      <c r="H214" s="310"/>
      <c r="I214" s="310"/>
      <c r="J214" s="310"/>
    </row>
    <row r="217" spans="2:10" ht="18.75">
      <c r="B217" s="497" t="s">
        <v>860</v>
      </c>
    </row>
    <row r="218" spans="2:10">
      <c r="B218" s="495" t="s">
        <v>673</v>
      </c>
      <c r="C218" s="278" t="s">
        <v>0</v>
      </c>
      <c r="D218" s="496" t="s">
        <v>2</v>
      </c>
      <c r="E218" s="496" t="s">
        <v>3</v>
      </c>
      <c r="F218" s="496" t="s">
        <v>4</v>
      </c>
      <c r="G218" s="496" t="s">
        <v>5</v>
      </c>
      <c r="H218" s="496" t="s">
        <v>6</v>
      </c>
      <c r="I218" s="496" t="s">
        <v>164</v>
      </c>
      <c r="J218" s="498" t="s">
        <v>163</v>
      </c>
    </row>
    <row r="219" spans="2:10">
      <c r="B219" s="289" t="s">
        <v>168</v>
      </c>
      <c r="C219" s="271" t="s">
        <v>861</v>
      </c>
      <c r="D219" s="284">
        <v>10</v>
      </c>
      <c r="E219" s="284">
        <f>+ROUND(D219*1.05,)</f>
        <v>11</v>
      </c>
      <c r="F219" s="284">
        <f t="shared" ref="F219:J219" si="65">+ROUND(E219*1.05,)</f>
        <v>12</v>
      </c>
      <c r="G219" s="284">
        <f t="shared" si="65"/>
        <v>13</v>
      </c>
      <c r="H219" s="284">
        <f t="shared" si="65"/>
        <v>14</v>
      </c>
      <c r="I219" s="284">
        <f t="shared" si="65"/>
        <v>15</v>
      </c>
      <c r="J219" s="499">
        <f t="shared" si="65"/>
        <v>16</v>
      </c>
    </row>
    <row r="220" spans="2:10">
      <c r="C220" s="284" t="s">
        <v>863</v>
      </c>
      <c r="D220" s="290">
        <v>0</v>
      </c>
      <c r="E220" s="358">
        <f t="shared" ref="E220:J220" si="66">ROUND(D220*1.05,-1)</f>
        <v>0</v>
      </c>
      <c r="F220" s="358">
        <f t="shared" si="66"/>
        <v>0</v>
      </c>
      <c r="G220" s="358">
        <f t="shared" si="66"/>
        <v>0</v>
      </c>
      <c r="H220" s="358">
        <f t="shared" si="66"/>
        <v>0</v>
      </c>
      <c r="I220" s="358">
        <f t="shared" si="66"/>
        <v>0</v>
      </c>
      <c r="J220" s="358">
        <f t="shared" si="66"/>
        <v>0</v>
      </c>
    </row>
    <row r="222" spans="2:10">
      <c r="C222" s="271" t="s">
        <v>864</v>
      </c>
      <c r="D222" s="284">
        <v>10</v>
      </c>
      <c r="E222" s="284">
        <f>+ROUND(D222*1.05,)</f>
        <v>11</v>
      </c>
      <c r="F222" s="284">
        <f t="shared" ref="F222:J222" si="67">+ROUND(E222*1.05,)</f>
        <v>12</v>
      </c>
      <c r="G222" s="284">
        <f t="shared" si="67"/>
        <v>13</v>
      </c>
      <c r="H222" s="284">
        <f t="shared" si="67"/>
        <v>14</v>
      </c>
      <c r="I222" s="284">
        <f t="shared" si="67"/>
        <v>15</v>
      </c>
      <c r="J222" s="499">
        <f t="shared" si="67"/>
        <v>16</v>
      </c>
    </row>
    <row r="223" spans="2:10">
      <c r="C223" s="284" t="s">
        <v>863</v>
      </c>
      <c r="D223" s="358">
        <v>0</v>
      </c>
      <c r="E223" s="358">
        <f t="shared" ref="E223:J223" si="68">ROUND(D223*1.05,-1)</f>
        <v>0</v>
      </c>
      <c r="F223" s="358">
        <f t="shared" si="68"/>
        <v>0</v>
      </c>
      <c r="G223" s="358">
        <f t="shared" si="68"/>
        <v>0</v>
      </c>
      <c r="H223" s="358">
        <f t="shared" si="68"/>
        <v>0</v>
      </c>
      <c r="I223" s="358">
        <f t="shared" si="68"/>
        <v>0</v>
      </c>
      <c r="J223" s="358">
        <f t="shared" si="68"/>
        <v>0</v>
      </c>
    </row>
  </sheetData>
  <mergeCells count="2">
    <mergeCell ref="B203:E203"/>
    <mergeCell ref="B207:E20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3"/>
  <sheetViews>
    <sheetView view="pageBreakPreview" zoomScaleSheetLayoutView="100" workbookViewId="0">
      <selection activeCell="D28" sqref="D28:D33"/>
    </sheetView>
  </sheetViews>
  <sheetFormatPr defaultRowHeight="15"/>
  <cols>
    <col min="2" max="2" width="7.5703125" bestFit="1" customWidth="1"/>
    <col min="3" max="3" width="26.28515625" bestFit="1" customWidth="1"/>
    <col min="4" max="4" width="15" style="310" customWidth="1"/>
    <col min="5" max="5" width="16" style="310" customWidth="1"/>
    <col min="6" max="6" width="17.85546875" style="310" customWidth="1"/>
  </cols>
  <sheetData>
    <row r="2" spans="1:13" ht="18.75">
      <c r="B2" s="602" t="s">
        <v>514</v>
      </c>
      <c r="C2" s="602"/>
      <c r="D2" s="602"/>
      <c r="E2" s="602"/>
      <c r="F2" s="602"/>
    </row>
    <row r="4" spans="1:13">
      <c r="B4" s="252" t="s">
        <v>140</v>
      </c>
      <c r="C4" s="252" t="s">
        <v>125</v>
      </c>
      <c r="D4" s="414" t="s">
        <v>154</v>
      </c>
      <c r="E4" s="415" t="s">
        <v>450</v>
      </c>
      <c r="F4" s="415" t="s">
        <v>451</v>
      </c>
    </row>
    <row r="5" spans="1:13">
      <c r="B5" s="253">
        <v>1</v>
      </c>
      <c r="C5" s="254" t="str">
        <f>'2.Capex Details'!B2</f>
        <v>Land and Building</v>
      </c>
      <c r="D5" s="416">
        <f>'2.Capex Details'!G12</f>
        <v>84.831189999999992</v>
      </c>
      <c r="E5" s="417">
        <v>0.6</v>
      </c>
      <c r="F5" s="418">
        <f>D5*E5</f>
        <v>50.898713999999991</v>
      </c>
    </row>
    <row r="6" spans="1:13">
      <c r="B6" s="253">
        <v>2</v>
      </c>
      <c r="C6" s="254" t="str">
        <f>'2.Capex Details'!B17</f>
        <v>Machinery and Equipment</v>
      </c>
      <c r="D6" s="416">
        <f>'2.Capex Details'!G64</f>
        <v>65.878900000000002</v>
      </c>
      <c r="E6" s="417">
        <v>0.6</v>
      </c>
      <c r="F6" s="418">
        <f t="shared" ref="F6:F10" si="0">D6*E6</f>
        <v>39.527340000000002</v>
      </c>
      <c r="J6" s="310">
        <f>+J12-J11-J10</f>
        <v>300.29418395833335</v>
      </c>
    </row>
    <row r="7" spans="1:13">
      <c r="B7" s="253">
        <v>3</v>
      </c>
      <c r="C7" s="254" t="str">
        <f>'2.Capex Details'!B70</f>
        <v>Furniture and Fixture</v>
      </c>
      <c r="D7" s="416">
        <f>'2.Capex Details'!F79</f>
        <v>0</v>
      </c>
      <c r="E7" s="417">
        <v>0.6</v>
      </c>
      <c r="F7" s="418">
        <f t="shared" si="0"/>
        <v>0</v>
      </c>
      <c r="J7">
        <v>0</v>
      </c>
    </row>
    <row r="8" spans="1:13">
      <c r="B8" s="253">
        <v>4</v>
      </c>
      <c r="C8" s="254" t="str">
        <f>'2.Capex Details'!B84</f>
        <v>IT &amp; It Infrastracture</v>
      </c>
      <c r="D8" s="416">
        <f>'2.Capex Details'!F93</f>
        <v>0</v>
      </c>
      <c r="E8" s="417">
        <v>0.6</v>
      </c>
      <c r="F8" s="418">
        <f t="shared" si="0"/>
        <v>0</v>
      </c>
      <c r="J8">
        <v>0</v>
      </c>
    </row>
    <row r="9" spans="1:13" ht="25.5">
      <c r="B9" s="253">
        <v>5</v>
      </c>
      <c r="C9" s="254" t="str">
        <f>'2.Capex Details'!B98</f>
        <v>Transport vehical  (Refer van and other)</v>
      </c>
      <c r="D9" s="416">
        <f>'2.Capex Details'!F104</f>
        <v>0</v>
      </c>
      <c r="E9" s="417">
        <v>0.6</v>
      </c>
      <c r="F9" s="418">
        <f t="shared" si="0"/>
        <v>0</v>
      </c>
      <c r="J9">
        <v>0</v>
      </c>
    </row>
    <row r="10" spans="1:13">
      <c r="B10" s="253">
        <v>6</v>
      </c>
      <c r="C10" s="254" t="str">
        <f>'2.Capex Details'!B108</f>
        <v>Preliminary Expenses</v>
      </c>
      <c r="D10" s="416">
        <f>'2.Capex Details'!D116</f>
        <v>7.5355044999999992</v>
      </c>
      <c r="E10" s="417">
        <v>0.6</v>
      </c>
      <c r="F10" s="418">
        <f t="shared" si="0"/>
        <v>4.5213026999999997</v>
      </c>
      <c r="J10">
        <v>13.808500000000002</v>
      </c>
      <c r="K10">
        <v>5</v>
      </c>
      <c r="L10" t="s">
        <v>399</v>
      </c>
    </row>
    <row r="11" spans="1:13">
      <c r="B11" s="253">
        <v>7</v>
      </c>
      <c r="C11" s="254" t="s">
        <v>152</v>
      </c>
      <c r="D11" s="416">
        <f>'5.Closing Stock &amp; W Capital'!E57</f>
        <v>1.3744008052083334</v>
      </c>
      <c r="E11" s="418"/>
      <c r="F11" s="418"/>
      <c r="J11">
        <v>3.8973160416666675</v>
      </c>
    </row>
    <row r="12" spans="1:13">
      <c r="B12" s="603" t="s">
        <v>1</v>
      </c>
      <c r="C12" s="603"/>
      <c r="D12" s="419">
        <f>SUM(D5:D11)</f>
        <v>159.61999530520831</v>
      </c>
      <c r="E12" s="418"/>
      <c r="F12" s="419">
        <f>SUM(F5:F11)</f>
        <v>94.9473567</v>
      </c>
      <c r="H12">
        <v>329.54</v>
      </c>
      <c r="I12" s="310">
        <f>+D12-H12</f>
        <v>-169.92000469479171</v>
      </c>
      <c r="J12" s="310">
        <v>318</v>
      </c>
    </row>
    <row r="13" spans="1:13">
      <c r="M13">
        <v>48</v>
      </c>
    </row>
    <row r="14" spans="1:13" ht="25.5" customHeight="1">
      <c r="A14" s="605" t="s">
        <v>400</v>
      </c>
      <c r="B14" s="605"/>
      <c r="C14" s="605"/>
      <c r="D14" s="605"/>
      <c r="E14" s="605"/>
      <c r="F14" s="605"/>
      <c r="M14">
        <v>11.64</v>
      </c>
    </row>
    <row r="15" spans="1:13">
      <c r="M15">
        <f>M13+M14</f>
        <v>59.64</v>
      </c>
    </row>
    <row r="16" spans="1:13" ht="18.75">
      <c r="B16" s="602" t="s">
        <v>515</v>
      </c>
      <c r="C16" s="602"/>
      <c r="D16" s="602"/>
      <c r="E16" s="602"/>
      <c r="F16" s="602"/>
      <c r="M16">
        <v>19.05</v>
      </c>
    </row>
    <row r="17" spans="2:13">
      <c r="M17">
        <f>M15+M16</f>
        <v>78.69</v>
      </c>
    </row>
    <row r="18" spans="2:13">
      <c r="B18" s="251" t="s">
        <v>140</v>
      </c>
      <c r="C18" s="252" t="s">
        <v>125</v>
      </c>
      <c r="D18" s="414" t="s">
        <v>607</v>
      </c>
      <c r="E18" s="414" t="s">
        <v>154</v>
      </c>
      <c r="F18" s="414" t="s">
        <v>443</v>
      </c>
    </row>
    <row r="19" spans="2:13" ht="25.5">
      <c r="B19" s="253">
        <v>1</v>
      </c>
      <c r="C19" s="254" t="s">
        <v>320</v>
      </c>
      <c r="D19" s="420"/>
      <c r="E19" s="420">
        <f>F12</f>
        <v>94.9473567</v>
      </c>
      <c r="F19" s="467">
        <f>+E19/E22</f>
        <v>0.59483372693033731</v>
      </c>
      <c r="H19">
        <f>+E19/2</f>
        <v>47.47367835</v>
      </c>
    </row>
    <row r="20" spans="2:13">
      <c r="B20" s="253">
        <v>2</v>
      </c>
      <c r="C20" s="254" t="s">
        <v>153</v>
      </c>
      <c r="D20" s="521">
        <v>0.2</v>
      </c>
      <c r="E20" s="420">
        <f>SUM(D5:D10)*D20</f>
        <v>31.649118899999998</v>
      </c>
      <c r="F20" s="467">
        <f>+E20/E22</f>
        <v>0.19827790897677908</v>
      </c>
      <c r="H20">
        <f>+E20/2</f>
        <v>15.824559449999999</v>
      </c>
    </row>
    <row r="21" spans="2:13">
      <c r="B21" s="253">
        <v>3</v>
      </c>
      <c r="C21" s="254" t="s">
        <v>130</v>
      </c>
      <c r="D21" s="420"/>
      <c r="E21" s="420">
        <f>D12-E19-E20</f>
        <v>33.023519705208308</v>
      </c>
      <c r="F21" s="467">
        <f>+E21/E22</f>
        <v>0.20688836409288361</v>
      </c>
      <c r="H21">
        <f>+E21/2</f>
        <v>16.511759852604154</v>
      </c>
    </row>
    <row r="22" spans="2:13">
      <c r="B22" s="603" t="s">
        <v>1</v>
      </c>
      <c r="C22" s="603"/>
      <c r="D22" s="421"/>
      <c r="E22" s="421">
        <f>SUM(E19:E21)</f>
        <v>159.61999530520831</v>
      </c>
      <c r="F22" s="233">
        <v>1</v>
      </c>
    </row>
    <row r="24" spans="2:13">
      <c r="B24" s="604" t="s">
        <v>401</v>
      </c>
      <c r="C24" s="604"/>
      <c r="D24" s="604"/>
      <c r="E24" s="604"/>
      <c r="F24" s="604"/>
    </row>
    <row r="26" spans="2:13" ht="18.75">
      <c r="B26" s="602" t="s">
        <v>516</v>
      </c>
      <c r="C26" s="602"/>
      <c r="D26" s="602"/>
      <c r="E26" s="602"/>
      <c r="F26" s="602"/>
      <c r="K26">
        <v>23000</v>
      </c>
      <c r="L26">
        <v>300</v>
      </c>
      <c r="M26">
        <f>+L26*K26</f>
        <v>6900000</v>
      </c>
    </row>
    <row r="27" spans="2:13">
      <c r="B27" s="255" t="s">
        <v>140</v>
      </c>
      <c r="C27" s="256" t="s">
        <v>563</v>
      </c>
      <c r="D27" s="422" t="s">
        <v>564</v>
      </c>
      <c r="E27" s="423" t="s">
        <v>565</v>
      </c>
      <c r="F27" s="600" t="s">
        <v>566</v>
      </c>
      <c r="G27" s="601"/>
      <c r="K27">
        <v>5476405</v>
      </c>
    </row>
    <row r="28" spans="2:13" ht="25.5">
      <c r="B28" s="257">
        <v>1</v>
      </c>
      <c r="C28" s="254" t="s">
        <v>365</v>
      </c>
      <c r="D28" s="537">
        <f>'9. Financial indiacators'!C46</f>
        <v>0.45651645728103701</v>
      </c>
      <c r="E28" s="424" t="s">
        <v>366</v>
      </c>
      <c r="F28" s="425" t="s">
        <v>567</v>
      </c>
      <c r="G28" s="257" t="s">
        <v>367</v>
      </c>
      <c r="K28">
        <f>+K27/K26</f>
        <v>238.1045652173913</v>
      </c>
    </row>
    <row r="29" spans="2:13" ht="38.25">
      <c r="B29" s="257">
        <v>2</v>
      </c>
      <c r="C29" s="254" t="s">
        <v>368</v>
      </c>
      <c r="D29" s="537">
        <f>'9. Financial indiacators'!C82</f>
        <v>0.19565495213506831</v>
      </c>
      <c r="E29" s="424" t="s">
        <v>366</v>
      </c>
      <c r="F29" s="425" t="s">
        <v>568</v>
      </c>
      <c r="G29" s="257" t="s">
        <v>369</v>
      </c>
    </row>
    <row r="30" spans="2:13" ht="38.25">
      <c r="B30" s="257">
        <v>3</v>
      </c>
      <c r="C30" s="254" t="s">
        <v>370</v>
      </c>
      <c r="D30" s="537">
        <f>'9. Financial indiacators'!C16</f>
        <v>0.14615526555238123</v>
      </c>
      <c r="E30" s="424" t="s">
        <v>366</v>
      </c>
      <c r="F30" s="425" t="s">
        <v>569</v>
      </c>
      <c r="G30" s="257" t="s">
        <v>371</v>
      </c>
    </row>
    <row r="31" spans="2:13" ht="63.75">
      <c r="B31" s="257">
        <v>4</v>
      </c>
      <c r="C31" s="254" t="s">
        <v>372</v>
      </c>
      <c r="D31" s="524">
        <f>'9. Financial indiacators'!C70</f>
        <v>26.760094416940149</v>
      </c>
      <c r="E31" s="424" t="s">
        <v>376</v>
      </c>
      <c r="F31" s="425" t="s">
        <v>570</v>
      </c>
      <c r="G31" s="257" t="s">
        <v>373</v>
      </c>
    </row>
    <row r="32" spans="2:13" ht="51">
      <c r="B32" s="257">
        <v>5</v>
      </c>
      <c r="C32" s="254" t="s">
        <v>374</v>
      </c>
      <c r="D32" s="424">
        <f>'9. Financial indiacators'!D98</f>
        <v>4.4411612230121094</v>
      </c>
      <c r="E32" s="424" t="s">
        <v>366</v>
      </c>
      <c r="F32" s="425" t="s">
        <v>571</v>
      </c>
      <c r="G32" s="257" t="s">
        <v>377</v>
      </c>
    </row>
    <row r="33" spans="2:7" ht="38.25">
      <c r="B33" s="257">
        <v>6</v>
      </c>
      <c r="C33" s="258" t="s">
        <v>375</v>
      </c>
      <c r="D33" s="424">
        <f>+'9. Financial indiacators'!C116</f>
        <v>2.4779233755641217</v>
      </c>
      <c r="E33" s="426" t="s">
        <v>366</v>
      </c>
      <c r="F33" s="425" t="s">
        <v>572</v>
      </c>
      <c r="G33" s="258" t="s">
        <v>378</v>
      </c>
    </row>
  </sheetData>
  <mergeCells count="8">
    <mergeCell ref="F27:G27"/>
    <mergeCell ref="B26:F26"/>
    <mergeCell ref="B12:C12"/>
    <mergeCell ref="B22:C22"/>
    <mergeCell ref="B2:F2"/>
    <mergeCell ref="B16:F16"/>
    <mergeCell ref="B24:F24"/>
    <mergeCell ref="A14:F14"/>
  </mergeCells>
  <conditionalFormatting sqref="D23">
    <cfRule type="cellIs" dxfId="4"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22"/>
  <sheetViews>
    <sheetView view="pageBreakPreview" topLeftCell="A93" zoomScale="80" zoomScaleSheetLayoutView="80" workbookViewId="0">
      <selection activeCell="M59" sqref="M59"/>
    </sheetView>
  </sheetViews>
  <sheetFormatPr defaultRowHeight="15"/>
  <cols>
    <col min="2" max="2" width="7.5703125" bestFit="1" customWidth="1"/>
    <col min="3" max="3" width="41.5703125" customWidth="1"/>
    <col min="4" max="4" width="9.7109375" customWidth="1"/>
    <col min="5" max="5" width="17" customWidth="1"/>
    <col min="6" max="6" width="15.28515625" bestFit="1" customWidth="1"/>
    <col min="7" max="7" width="13.5703125" style="15" bestFit="1" customWidth="1"/>
    <col min="8" max="8" width="11.5703125" bestFit="1" customWidth="1"/>
  </cols>
  <sheetData>
    <row r="2" spans="1:14" ht="18.75">
      <c r="A2">
        <v>2.1</v>
      </c>
      <c r="B2" s="602" t="s">
        <v>150</v>
      </c>
      <c r="C2" s="602"/>
      <c r="D2" s="602"/>
      <c r="E2" s="602"/>
      <c r="F2" s="602"/>
      <c r="G2" s="602"/>
    </row>
    <row r="4" spans="1:14" ht="28.5">
      <c r="B4" s="149" t="s">
        <v>140</v>
      </c>
      <c r="C4" s="149" t="s">
        <v>125</v>
      </c>
      <c r="D4" s="149" t="s">
        <v>128</v>
      </c>
      <c r="E4" s="149" t="s">
        <v>141</v>
      </c>
      <c r="F4" s="149" t="s">
        <v>142</v>
      </c>
      <c r="G4" s="322" t="s">
        <v>154</v>
      </c>
    </row>
    <row r="5" spans="1:14">
      <c r="B5" s="193">
        <v>1</v>
      </c>
      <c r="C5" s="193" t="s">
        <v>143</v>
      </c>
      <c r="D5" s="193" t="s">
        <v>144</v>
      </c>
      <c r="E5" s="259"/>
      <c r="F5" s="260"/>
      <c r="G5" s="323" t="s">
        <v>145</v>
      </c>
    </row>
    <row r="6" spans="1:14">
      <c r="B6" s="193"/>
      <c r="C6" s="320" t="s">
        <v>941</v>
      </c>
      <c r="D6" s="194" t="s">
        <v>289</v>
      </c>
      <c r="E6" s="162">
        <v>500</v>
      </c>
      <c r="F6" s="578">
        <f>+(G6/E6)*100000</f>
        <v>11663.08</v>
      </c>
      <c r="G6" s="324">
        <f>5831540/100000</f>
        <v>58.315399999999997</v>
      </c>
      <c r="I6" t="s">
        <v>974</v>
      </c>
      <c r="J6">
        <f>+G6*0.6</f>
        <v>34.989239999999995</v>
      </c>
      <c r="L6">
        <v>5831540</v>
      </c>
      <c r="N6">
        <v>57.5</v>
      </c>
    </row>
    <row r="7" spans="1:14">
      <c r="B7" s="193"/>
      <c r="C7" s="193" t="s">
        <v>947</v>
      </c>
      <c r="D7" s="193" t="s">
        <v>922</v>
      </c>
      <c r="E7" s="162">
        <v>139</v>
      </c>
      <c r="F7" s="163">
        <f>+(G7/E7)*100000</f>
        <v>19076.107913669064</v>
      </c>
      <c r="G7" s="324">
        <f>2651579/100000</f>
        <v>26.515789999999999</v>
      </c>
      <c r="I7" t="s">
        <v>974</v>
      </c>
      <c r="J7">
        <f>+G7*0.6</f>
        <v>15.909473999999999</v>
      </c>
      <c r="L7">
        <f>+L6/100000</f>
        <v>58.315399999999997</v>
      </c>
      <c r="N7" s="324">
        <v>25</v>
      </c>
    </row>
    <row r="8" spans="1:14">
      <c r="B8" s="193"/>
      <c r="C8" s="193"/>
      <c r="D8" s="194"/>
      <c r="E8" s="162"/>
      <c r="F8" s="163"/>
      <c r="G8" s="324">
        <f t="shared" ref="G8:G11" si="0">E8*F8</f>
        <v>0</v>
      </c>
    </row>
    <row r="9" spans="1:14">
      <c r="B9" s="193"/>
      <c r="C9" s="193"/>
      <c r="D9" s="194"/>
      <c r="E9" s="162"/>
      <c r="F9" s="163"/>
      <c r="G9" s="324">
        <f t="shared" si="0"/>
        <v>0</v>
      </c>
    </row>
    <row r="10" spans="1:14">
      <c r="B10" s="193"/>
      <c r="C10" s="193"/>
      <c r="D10" s="194"/>
      <c r="E10" s="162"/>
      <c r="F10" s="163"/>
      <c r="G10" s="324">
        <f t="shared" si="0"/>
        <v>0</v>
      </c>
    </row>
    <row r="11" spans="1:14">
      <c r="B11" s="193"/>
      <c r="C11" s="193"/>
      <c r="D11" s="194"/>
      <c r="E11" s="162"/>
      <c r="F11" s="163"/>
      <c r="G11" s="324">
        <f t="shared" si="0"/>
        <v>0</v>
      </c>
    </row>
    <row r="12" spans="1:14">
      <c r="B12" s="606" t="s">
        <v>1</v>
      </c>
      <c r="C12" s="606"/>
      <c r="D12" s="606"/>
      <c r="E12" s="606"/>
      <c r="F12" s="606"/>
      <c r="G12" s="325">
        <f>SUM(G6:G11)</f>
        <v>84.831189999999992</v>
      </c>
      <c r="N12">
        <f>+SUM(N6:N11)</f>
        <v>82.5</v>
      </c>
    </row>
    <row r="15" spans="1:14">
      <c r="B15" s="604" t="s">
        <v>395</v>
      </c>
      <c r="C15" s="604"/>
      <c r="D15" s="604"/>
      <c r="E15" s="604"/>
      <c r="F15" s="604"/>
      <c r="G15" s="604"/>
    </row>
    <row r="17" spans="1:8" ht="18.75">
      <c r="A17">
        <v>2.2000000000000002</v>
      </c>
      <c r="B17" s="602" t="s">
        <v>151</v>
      </c>
      <c r="C17" s="602"/>
      <c r="D17" s="602"/>
      <c r="E17" s="602"/>
      <c r="F17" s="602"/>
      <c r="G17" s="602"/>
      <c r="H17" s="602"/>
    </row>
    <row r="18" spans="1:8">
      <c r="B18" s="13"/>
    </row>
    <row r="19" spans="1:8" ht="28.5">
      <c r="B19" s="149" t="s">
        <v>140</v>
      </c>
      <c r="C19" s="149" t="s">
        <v>146</v>
      </c>
      <c r="D19" s="149" t="s">
        <v>156</v>
      </c>
      <c r="E19" s="149" t="s">
        <v>147</v>
      </c>
      <c r="F19" s="149" t="s">
        <v>148</v>
      </c>
      <c r="G19" s="322" t="s">
        <v>154</v>
      </c>
      <c r="H19" s="149" t="s">
        <v>149</v>
      </c>
    </row>
    <row r="20" spans="1:8">
      <c r="B20" s="171"/>
      <c r="C20" s="164"/>
      <c r="D20" s="164"/>
      <c r="E20" s="164"/>
      <c r="F20" s="164"/>
      <c r="G20" s="321"/>
      <c r="H20" s="164"/>
    </row>
    <row r="21" spans="1:8">
      <c r="B21" s="167" t="s">
        <v>168</v>
      </c>
      <c r="C21" s="166" t="s">
        <v>351</v>
      </c>
      <c r="D21" s="166"/>
      <c r="E21" s="167"/>
      <c r="F21" s="168"/>
      <c r="G21" s="321">
        <f t="shared" ref="G21:G31" si="1">E21*F21</f>
        <v>0</v>
      </c>
      <c r="H21" s="169"/>
    </row>
    <row r="22" spans="1:8">
      <c r="B22" s="167"/>
      <c r="C22" s="166"/>
      <c r="D22" s="166"/>
      <c r="E22" s="167"/>
      <c r="F22" s="168"/>
      <c r="G22" s="321">
        <f t="shared" si="1"/>
        <v>0</v>
      </c>
      <c r="H22" s="169"/>
    </row>
    <row r="23" spans="1:8">
      <c r="B23" s="167"/>
      <c r="C23" s="166"/>
      <c r="D23" s="166"/>
      <c r="E23" s="167"/>
      <c r="F23" s="168"/>
      <c r="G23" s="321">
        <f t="shared" si="1"/>
        <v>0</v>
      </c>
      <c r="H23" s="169"/>
    </row>
    <row r="24" spans="1:8">
      <c r="B24" s="167"/>
      <c r="C24" s="166"/>
      <c r="D24" s="166"/>
      <c r="E24" s="167"/>
      <c r="F24" s="168"/>
      <c r="G24" s="321">
        <f t="shared" si="1"/>
        <v>0</v>
      </c>
      <c r="H24" s="169"/>
    </row>
    <row r="25" spans="1:8">
      <c r="B25" s="167"/>
      <c r="C25" s="166"/>
      <c r="D25" s="166"/>
      <c r="E25" s="167"/>
      <c r="F25" s="168"/>
      <c r="G25" s="321">
        <f t="shared" si="1"/>
        <v>0</v>
      </c>
      <c r="H25" s="169"/>
    </row>
    <row r="26" spans="1:8">
      <c r="B26" s="167"/>
      <c r="C26" s="166"/>
      <c r="D26" s="166"/>
      <c r="E26" s="167"/>
      <c r="F26" s="168"/>
      <c r="G26" s="321">
        <f t="shared" si="1"/>
        <v>0</v>
      </c>
      <c r="H26" s="169"/>
    </row>
    <row r="27" spans="1:8">
      <c r="B27" s="167"/>
      <c r="C27" s="166"/>
      <c r="D27" s="166"/>
      <c r="E27" s="167"/>
      <c r="F27" s="168"/>
      <c r="G27" s="321">
        <f t="shared" si="1"/>
        <v>0</v>
      </c>
      <c r="H27" s="169"/>
    </row>
    <row r="28" spans="1:8">
      <c r="B28" s="167"/>
      <c r="C28" s="166"/>
      <c r="D28" s="166"/>
      <c r="E28" s="167"/>
      <c r="F28" s="168"/>
      <c r="G28" s="321">
        <f t="shared" si="1"/>
        <v>0</v>
      </c>
      <c r="H28" s="169"/>
    </row>
    <row r="29" spans="1:8">
      <c r="B29" s="167"/>
      <c r="C29" s="166"/>
      <c r="D29" s="167"/>
      <c r="E29" s="167"/>
      <c r="F29" s="168"/>
      <c r="G29" s="321">
        <f t="shared" si="1"/>
        <v>0</v>
      </c>
      <c r="H29" s="169"/>
    </row>
    <row r="30" spans="1:8">
      <c r="B30" s="167"/>
      <c r="C30" s="166"/>
      <c r="D30" s="167"/>
      <c r="E30" s="167"/>
      <c r="F30" s="168"/>
      <c r="G30" s="321">
        <f t="shared" si="1"/>
        <v>0</v>
      </c>
      <c r="H30" s="169"/>
    </row>
    <row r="31" spans="1:8">
      <c r="B31" s="167"/>
      <c r="C31" s="166"/>
      <c r="D31" s="167"/>
      <c r="E31" s="167"/>
      <c r="F31" s="168"/>
      <c r="G31" s="321">
        <f t="shared" si="1"/>
        <v>0</v>
      </c>
      <c r="H31" s="169"/>
    </row>
    <row r="32" spans="1:8">
      <c r="B32" s="608" t="s">
        <v>166</v>
      </c>
      <c r="C32" s="608"/>
      <c r="D32" s="167"/>
      <c r="E32" s="167"/>
      <c r="F32" s="170"/>
      <c r="G32" s="321">
        <f>SUM(G21:G31)</f>
        <v>0</v>
      </c>
      <c r="H32" s="165">
        <f>SUM(H21:H31)</f>
        <v>0</v>
      </c>
    </row>
    <row r="33" spans="2:8">
      <c r="B33" s="167" t="s">
        <v>169</v>
      </c>
      <c r="C33" s="166" t="s">
        <v>283</v>
      </c>
      <c r="D33" s="171"/>
      <c r="E33" s="171"/>
      <c r="F33" s="165"/>
      <c r="G33" s="321"/>
      <c r="H33" s="164"/>
    </row>
    <row r="34" spans="2:8">
      <c r="B34" s="171"/>
      <c r="C34" s="172"/>
      <c r="D34" s="172"/>
      <c r="E34" s="171"/>
      <c r="F34" s="165"/>
      <c r="G34" s="321">
        <f t="shared" ref="G34:G39" si="2">E34*F34</f>
        <v>0</v>
      </c>
      <c r="H34" s="164"/>
    </row>
    <row r="35" spans="2:8">
      <c r="B35" s="171"/>
      <c r="C35" s="172"/>
      <c r="D35" s="171"/>
      <c r="E35" s="171"/>
      <c r="F35" s="165"/>
      <c r="G35" s="321">
        <f t="shared" si="2"/>
        <v>0</v>
      </c>
      <c r="H35" s="164"/>
    </row>
    <row r="36" spans="2:8">
      <c r="B36" s="171"/>
      <c r="C36" s="172"/>
      <c r="D36" s="171"/>
      <c r="E36" s="171"/>
      <c r="F36" s="165"/>
      <c r="G36" s="321">
        <f t="shared" si="2"/>
        <v>0</v>
      </c>
      <c r="H36" s="164"/>
    </row>
    <row r="37" spans="2:8">
      <c r="B37" s="171"/>
      <c r="C37" s="172"/>
      <c r="D37" s="171"/>
      <c r="E37" s="171"/>
      <c r="F37" s="165"/>
      <c r="G37" s="321">
        <f t="shared" si="2"/>
        <v>0</v>
      </c>
      <c r="H37" s="164"/>
    </row>
    <row r="38" spans="2:8">
      <c r="B38" s="171"/>
      <c r="C38" s="172"/>
      <c r="D38" s="171"/>
      <c r="E38" s="171"/>
      <c r="F38" s="165"/>
      <c r="G38" s="321">
        <f t="shared" si="2"/>
        <v>0</v>
      </c>
      <c r="H38" s="164"/>
    </row>
    <row r="39" spans="2:8">
      <c r="B39" s="171"/>
      <c r="C39" s="172"/>
      <c r="D39" s="171"/>
      <c r="E39" s="171"/>
      <c r="F39" s="165"/>
      <c r="G39" s="321">
        <f t="shared" si="2"/>
        <v>0</v>
      </c>
      <c r="H39" s="164"/>
    </row>
    <row r="40" spans="2:8">
      <c r="B40" s="171"/>
      <c r="C40" s="172"/>
      <c r="D40" s="171"/>
      <c r="E40" s="171"/>
      <c r="F40" s="165"/>
      <c r="G40" s="321">
        <f t="shared" ref="G40:G46" si="3">F40</f>
        <v>0</v>
      </c>
      <c r="H40" s="164"/>
    </row>
    <row r="41" spans="2:8">
      <c r="B41" s="171"/>
      <c r="C41" s="172"/>
      <c r="D41" s="171"/>
      <c r="E41" s="171"/>
      <c r="F41" s="165"/>
      <c r="G41" s="321">
        <f t="shared" si="3"/>
        <v>0</v>
      </c>
      <c r="H41" s="164"/>
    </row>
    <row r="42" spans="2:8">
      <c r="B42" s="171"/>
      <c r="C42" s="172"/>
      <c r="D42" s="171"/>
      <c r="E42" s="171"/>
      <c r="F42" s="165"/>
      <c r="G42" s="321">
        <f t="shared" si="3"/>
        <v>0</v>
      </c>
      <c r="H42" s="164"/>
    </row>
    <row r="43" spans="2:8">
      <c r="B43" s="171"/>
      <c r="C43" s="172"/>
      <c r="D43" s="171"/>
      <c r="E43" s="171"/>
      <c r="F43" s="165"/>
      <c r="G43" s="321">
        <f t="shared" si="3"/>
        <v>0</v>
      </c>
      <c r="H43" s="164"/>
    </row>
    <row r="44" spans="2:8">
      <c r="B44" s="171"/>
      <c r="C44" s="172"/>
      <c r="D44" s="171"/>
      <c r="E44" s="171"/>
      <c r="F44" s="165"/>
      <c r="G44" s="321">
        <f t="shared" si="3"/>
        <v>0</v>
      </c>
      <c r="H44" s="164"/>
    </row>
    <row r="45" spans="2:8">
      <c r="B45" s="171"/>
      <c r="C45" s="172"/>
      <c r="D45" s="171"/>
      <c r="E45" s="171"/>
      <c r="F45" s="165"/>
      <c r="G45" s="321">
        <f t="shared" si="3"/>
        <v>0</v>
      </c>
      <c r="H45" s="164"/>
    </row>
    <row r="46" spans="2:8">
      <c r="B46" s="171"/>
      <c r="C46" s="172"/>
      <c r="D46" s="171"/>
      <c r="E46" s="171"/>
      <c r="F46" s="165"/>
      <c r="G46" s="321">
        <f t="shared" si="3"/>
        <v>0</v>
      </c>
      <c r="H46" s="164"/>
    </row>
    <row r="47" spans="2:8">
      <c r="B47" s="608" t="s">
        <v>166</v>
      </c>
      <c r="C47" s="608"/>
      <c r="D47" s="167"/>
      <c r="E47" s="167"/>
      <c r="F47" s="170"/>
      <c r="G47" s="326">
        <f>SUM(G34:G46)</f>
        <v>0</v>
      </c>
      <c r="H47" s="170">
        <f>SUM(H34:H46)</f>
        <v>0</v>
      </c>
    </row>
    <row r="48" spans="2:8">
      <c r="B48" s="171"/>
      <c r="C48" s="172"/>
      <c r="D48" s="171"/>
      <c r="E48" s="171"/>
      <c r="F48" s="165"/>
      <c r="G48" s="321"/>
      <c r="H48" s="164"/>
    </row>
    <row r="49" spans="1:19">
      <c r="B49" s="167" t="s">
        <v>170</v>
      </c>
      <c r="C49" s="166" t="s">
        <v>352</v>
      </c>
      <c r="D49" s="171"/>
      <c r="E49" s="171"/>
      <c r="F49" s="165"/>
      <c r="G49" s="321">
        <f t="shared" ref="G49:G54" si="4">E49*F49</f>
        <v>0</v>
      </c>
      <c r="H49" s="164"/>
    </row>
    <row r="50" spans="1:19">
      <c r="B50" s="167"/>
      <c r="C50" s="166"/>
      <c r="D50" s="171"/>
      <c r="E50" s="171"/>
      <c r="F50" s="165"/>
      <c r="G50" s="321">
        <f t="shared" si="4"/>
        <v>0</v>
      </c>
      <c r="H50" s="164"/>
    </row>
    <row r="51" spans="1:19">
      <c r="B51" s="167"/>
      <c r="C51" s="166"/>
      <c r="D51" s="172"/>
      <c r="E51" s="171"/>
      <c r="F51" s="165"/>
      <c r="G51" s="321">
        <f t="shared" si="4"/>
        <v>0</v>
      </c>
      <c r="H51" s="164"/>
    </row>
    <row r="52" spans="1:19">
      <c r="B52" s="167"/>
      <c r="C52" s="166"/>
      <c r="D52" s="172"/>
      <c r="E52" s="171"/>
      <c r="F52" s="165"/>
      <c r="G52" s="321">
        <f t="shared" si="4"/>
        <v>0</v>
      </c>
      <c r="H52" s="164"/>
    </row>
    <row r="53" spans="1:19">
      <c r="B53" s="167"/>
      <c r="C53" s="166"/>
      <c r="D53" s="172"/>
      <c r="E53" s="171"/>
      <c r="F53" s="165"/>
      <c r="G53" s="321">
        <f t="shared" si="4"/>
        <v>0</v>
      </c>
      <c r="H53" s="164"/>
    </row>
    <row r="54" spans="1:19">
      <c r="B54" s="167"/>
      <c r="C54" s="166"/>
      <c r="D54" s="172"/>
      <c r="E54" s="171"/>
      <c r="F54" s="165"/>
      <c r="G54" s="321">
        <f t="shared" si="4"/>
        <v>0</v>
      </c>
      <c r="H54" s="164"/>
    </row>
    <row r="55" spans="1:19">
      <c r="B55" s="608" t="s">
        <v>166</v>
      </c>
      <c r="C55" s="608"/>
      <c r="D55" s="172"/>
      <c r="E55" s="171"/>
      <c r="F55" s="165"/>
      <c r="G55" s="321">
        <f>SUM(G49:G54)</f>
        <v>0</v>
      </c>
      <c r="H55" s="165">
        <f>SUM(H49:H54)</f>
        <v>0</v>
      </c>
    </row>
    <row r="56" spans="1:19">
      <c r="B56" s="167"/>
      <c r="C56" s="167"/>
      <c r="D56" s="172"/>
      <c r="E56" s="171"/>
      <c r="F56" s="165"/>
      <c r="G56" s="321"/>
      <c r="H56" s="165"/>
    </row>
    <row r="57" spans="1:19">
      <c r="B57" s="167" t="s">
        <v>171</v>
      </c>
      <c r="C57" s="167" t="s">
        <v>499</v>
      </c>
      <c r="D57" s="172"/>
      <c r="E57" s="171"/>
      <c r="F57" s="165"/>
      <c r="G57" s="321">
        <f>E57*F57</f>
        <v>0</v>
      </c>
      <c r="H57" s="165"/>
      <c r="S57">
        <v>296610</v>
      </c>
    </row>
    <row r="58" spans="1:19">
      <c r="B58" s="167"/>
      <c r="C58" s="320" t="s">
        <v>933</v>
      </c>
      <c r="D58" s="172" t="s">
        <v>981</v>
      </c>
      <c r="E58" s="171">
        <v>1</v>
      </c>
      <c r="F58" s="165">
        <v>4863200</v>
      </c>
      <c r="G58" s="321">
        <f>E58*F58/100000</f>
        <v>48.631999999999998</v>
      </c>
      <c r="H58" s="165"/>
      <c r="I58">
        <f>+G58*0.6</f>
        <v>29.179199999999998</v>
      </c>
      <c r="S58">
        <v>53390</v>
      </c>
    </row>
    <row r="59" spans="1:19">
      <c r="B59" s="167"/>
      <c r="C59" s="320" t="s">
        <v>967</v>
      </c>
      <c r="D59" s="172" t="s">
        <v>968</v>
      </c>
      <c r="E59" s="171">
        <v>1</v>
      </c>
      <c r="F59" s="165">
        <v>574690</v>
      </c>
      <c r="G59" s="321">
        <f>E59*F59/100000</f>
        <v>5.7469000000000001</v>
      </c>
      <c r="H59" s="165"/>
      <c r="I59" t="s">
        <v>973</v>
      </c>
      <c r="N59">
        <v>350000</v>
      </c>
      <c r="S59">
        <f>+S57+S58</f>
        <v>350000</v>
      </c>
    </row>
    <row r="60" spans="1:19">
      <c r="B60" s="167"/>
      <c r="C60" s="166" t="s">
        <v>971</v>
      </c>
      <c r="D60" s="172" t="s">
        <v>972</v>
      </c>
      <c r="E60" s="171">
        <v>1</v>
      </c>
      <c r="F60" s="165">
        <v>350000</v>
      </c>
      <c r="G60" s="321">
        <f>E60*F60/100000</f>
        <v>3.5</v>
      </c>
      <c r="H60" s="164"/>
      <c r="I60">
        <f>+J60*0.6</f>
        <v>1.92</v>
      </c>
      <c r="J60">
        <v>3.2</v>
      </c>
      <c r="N60">
        <v>1.18</v>
      </c>
    </row>
    <row r="61" spans="1:19" ht="30">
      <c r="B61" s="579"/>
      <c r="C61" s="166" t="s">
        <v>978</v>
      </c>
      <c r="D61" s="172" t="s">
        <v>979</v>
      </c>
      <c r="E61" s="171">
        <v>1</v>
      </c>
      <c r="F61" s="165">
        <v>800000</v>
      </c>
      <c r="G61" s="321">
        <f>E61*F61/100000</f>
        <v>8</v>
      </c>
      <c r="H61" s="164"/>
    </row>
    <row r="62" spans="1:19">
      <c r="A62" t="s">
        <v>977</v>
      </c>
      <c r="B62" s="608" t="s">
        <v>166</v>
      </c>
      <c r="C62" s="608"/>
      <c r="D62" s="172"/>
      <c r="E62" s="171"/>
      <c r="F62" s="165"/>
      <c r="G62" s="321">
        <f>SUM(G57:G61)</f>
        <v>65.878900000000002</v>
      </c>
      <c r="H62" s="165">
        <f>SUM(H57:H58)</f>
        <v>0</v>
      </c>
      <c r="P62">
        <v>296610</v>
      </c>
    </row>
    <row r="63" spans="1:19">
      <c r="B63" s="171"/>
      <c r="C63" s="172"/>
      <c r="D63" s="172"/>
      <c r="E63" s="171"/>
      <c r="F63" s="165"/>
      <c r="G63" s="321"/>
      <c r="H63" s="164"/>
      <c r="N63">
        <f>+N59/N60</f>
        <v>296610.16949152545</v>
      </c>
      <c r="P63">
        <f>+P62*0.18</f>
        <v>53389.799999999996</v>
      </c>
    </row>
    <row r="64" spans="1:19">
      <c r="B64" s="607" t="s">
        <v>1</v>
      </c>
      <c r="C64" s="607"/>
      <c r="D64" s="607"/>
      <c r="E64" s="607"/>
      <c r="F64" s="607"/>
      <c r="G64" s="327">
        <f>G55+G47+G32+G62</f>
        <v>65.878900000000002</v>
      </c>
      <c r="H64" s="161">
        <f>H47+H21+H55+H62</f>
        <v>0</v>
      </c>
    </row>
    <row r="65" spans="1:16">
      <c r="B65" s="13"/>
      <c r="P65">
        <f>+N59-P62</f>
        <v>53390</v>
      </c>
    </row>
    <row r="66" spans="1:16">
      <c r="B66" s="604" t="s">
        <v>396</v>
      </c>
      <c r="C66" s="604"/>
      <c r="D66" s="604"/>
      <c r="E66" s="604"/>
      <c r="F66" s="604"/>
      <c r="G66" s="604"/>
      <c r="H66" s="604"/>
    </row>
    <row r="67" spans="1:16">
      <c r="B67" s="13"/>
      <c r="I67" s="13"/>
      <c r="J67" s="13"/>
      <c r="K67" s="16"/>
    </row>
    <row r="70" spans="1:16" ht="18.75">
      <c r="A70">
        <v>2.2999999999999998</v>
      </c>
      <c r="B70" s="602" t="s">
        <v>363</v>
      </c>
      <c r="C70" s="602"/>
      <c r="D70" s="602"/>
      <c r="E70" s="602"/>
      <c r="F70" s="602"/>
    </row>
    <row r="72" spans="1:16" ht="30">
      <c r="B72" s="18" t="s">
        <v>140</v>
      </c>
      <c r="C72" s="38" t="s">
        <v>125</v>
      </c>
      <c r="D72" s="38" t="s">
        <v>147</v>
      </c>
      <c r="E72" s="38" t="s">
        <v>148</v>
      </c>
      <c r="F72" s="38" t="s">
        <v>154</v>
      </c>
    </row>
    <row r="73" spans="1:16">
      <c r="B73" s="173">
        <v>1</v>
      </c>
      <c r="C73" s="195"/>
      <c r="D73" s="173"/>
      <c r="E73" s="174"/>
      <c r="F73" s="175">
        <f t="shared" ref="F73:F78" si="5">D73*E73</f>
        <v>0</v>
      </c>
    </row>
    <row r="74" spans="1:16">
      <c r="B74" s="173"/>
      <c r="C74" s="195"/>
      <c r="D74" s="173"/>
      <c r="E74" s="174"/>
      <c r="F74" s="175">
        <f t="shared" si="5"/>
        <v>0</v>
      </c>
    </row>
    <row r="75" spans="1:16">
      <c r="B75" s="173"/>
      <c r="C75" s="195"/>
      <c r="D75" s="173"/>
      <c r="E75" s="174"/>
      <c r="F75" s="175">
        <f t="shared" si="5"/>
        <v>0</v>
      </c>
    </row>
    <row r="76" spans="1:16">
      <c r="B76" s="173"/>
      <c r="C76" s="195"/>
      <c r="D76" s="173"/>
      <c r="E76" s="174"/>
      <c r="F76" s="175">
        <f t="shared" si="5"/>
        <v>0</v>
      </c>
    </row>
    <row r="77" spans="1:16">
      <c r="B77" s="173"/>
      <c r="C77" s="195"/>
      <c r="D77" s="173"/>
      <c r="E77" s="174"/>
      <c r="F77" s="175">
        <f t="shared" si="5"/>
        <v>0</v>
      </c>
    </row>
    <row r="78" spans="1:16">
      <c r="B78" s="173"/>
      <c r="C78" s="195"/>
      <c r="D78" s="173"/>
      <c r="E78" s="174"/>
      <c r="F78" s="175">
        <f t="shared" si="5"/>
        <v>0</v>
      </c>
    </row>
    <row r="79" spans="1:16">
      <c r="B79" s="613" t="s">
        <v>1</v>
      </c>
      <c r="C79" s="613"/>
      <c r="D79" s="613"/>
      <c r="E79" s="613"/>
      <c r="F79" s="17">
        <f>SUM(F73:F78)</f>
        <v>0</v>
      </c>
    </row>
    <row r="81" spans="1:7">
      <c r="A81" s="604" t="s">
        <v>397</v>
      </c>
      <c r="B81" s="604"/>
      <c r="C81" s="604"/>
      <c r="D81" s="604"/>
      <c r="E81" s="604"/>
      <c r="F81" s="604"/>
      <c r="G81" s="604"/>
    </row>
    <row r="84" spans="1:7" ht="18.75">
      <c r="A84">
        <v>2.4</v>
      </c>
      <c r="B84" s="602" t="s">
        <v>362</v>
      </c>
      <c r="C84" s="602"/>
      <c r="D84" s="602"/>
      <c r="E84" s="602"/>
      <c r="F84" s="602"/>
    </row>
    <row r="86" spans="1:7" ht="30">
      <c r="B86" s="18" t="s">
        <v>140</v>
      </c>
      <c r="C86" s="38" t="s">
        <v>125</v>
      </c>
      <c r="D86" s="38" t="s">
        <v>147</v>
      </c>
      <c r="E86" s="38" t="s">
        <v>148</v>
      </c>
      <c r="F86" s="38" t="s">
        <v>154</v>
      </c>
    </row>
    <row r="87" spans="1:7">
      <c r="B87" s="173">
        <v>1</v>
      </c>
      <c r="C87" s="195"/>
      <c r="D87" s="173"/>
      <c r="E87" s="174"/>
      <c r="F87" s="175">
        <f t="shared" ref="F87:F92" si="6">D87*E87</f>
        <v>0</v>
      </c>
    </row>
    <row r="88" spans="1:7">
      <c r="B88" s="173"/>
      <c r="C88" s="195"/>
      <c r="D88" s="173"/>
      <c r="E88" s="174"/>
      <c r="F88" s="175">
        <f t="shared" si="6"/>
        <v>0</v>
      </c>
    </row>
    <row r="89" spans="1:7">
      <c r="B89" s="173"/>
      <c r="C89" s="195"/>
      <c r="D89" s="173"/>
      <c r="E89" s="174"/>
      <c r="F89" s="175">
        <f t="shared" si="6"/>
        <v>0</v>
      </c>
    </row>
    <row r="90" spans="1:7">
      <c r="B90" s="173"/>
      <c r="C90" s="195"/>
      <c r="D90" s="173"/>
      <c r="E90" s="174"/>
      <c r="F90" s="175">
        <f t="shared" si="6"/>
        <v>0</v>
      </c>
    </row>
    <row r="91" spans="1:7">
      <c r="B91" s="173"/>
      <c r="C91" s="195"/>
      <c r="D91" s="173"/>
      <c r="E91" s="174"/>
      <c r="F91" s="175">
        <f t="shared" si="6"/>
        <v>0</v>
      </c>
    </row>
    <row r="92" spans="1:7">
      <c r="B92" s="173"/>
      <c r="C92" s="195"/>
      <c r="D92" s="173"/>
      <c r="E92" s="174"/>
      <c r="F92" s="175">
        <f t="shared" si="6"/>
        <v>0</v>
      </c>
    </row>
    <row r="93" spans="1:7">
      <c r="B93" s="613" t="s">
        <v>1</v>
      </c>
      <c r="C93" s="613"/>
      <c r="D93" s="613"/>
      <c r="E93" s="613"/>
      <c r="F93" s="17">
        <f>SUM(F87:F92)</f>
        <v>0</v>
      </c>
    </row>
    <row r="95" spans="1:7">
      <c r="A95" s="604" t="s">
        <v>397</v>
      </c>
      <c r="B95" s="604"/>
      <c r="C95" s="604"/>
      <c r="D95" s="604"/>
      <c r="E95" s="604"/>
      <c r="F95" s="604"/>
      <c r="G95" s="604"/>
    </row>
    <row r="98" spans="1:7" ht="18.75">
      <c r="A98">
        <v>2.5</v>
      </c>
      <c r="B98" s="602" t="s">
        <v>600</v>
      </c>
      <c r="C98" s="602"/>
      <c r="D98" s="602"/>
      <c r="E98" s="602"/>
      <c r="F98" s="602"/>
    </row>
    <row r="100" spans="1:7" ht="28.5">
      <c r="B100" s="148" t="s">
        <v>140</v>
      </c>
      <c r="C100" s="149" t="s">
        <v>125</v>
      </c>
      <c r="D100" s="149" t="s">
        <v>147</v>
      </c>
      <c r="E100" s="149" t="s">
        <v>148</v>
      </c>
      <c r="F100" s="149" t="s">
        <v>154</v>
      </c>
    </row>
    <row r="101" spans="1:7">
      <c r="B101" s="171">
        <v>1</v>
      </c>
      <c r="C101" s="172"/>
      <c r="D101" s="171"/>
      <c r="E101" s="176"/>
      <c r="F101" s="165">
        <f>E101*D101</f>
        <v>0</v>
      </c>
    </row>
    <row r="102" spans="1:7">
      <c r="B102" s="171"/>
      <c r="C102" s="172"/>
      <c r="D102" s="171"/>
      <c r="E102" s="176"/>
      <c r="F102" s="165">
        <f>E102*D102</f>
        <v>0</v>
      </c>
    </row>
    <row r="103" spans="1:7">
      <c r="B103" s="171"/>
      <c r="C103" s="172"/>
      <c r="D103" s="171"/>
      <c r="E103" s="176"/>
      <c r="F103" s="165">
        <f>E103*D103</f>
        <v>0</v>
      </c>
    </row>
    <row r="104" spans="1:7">
      <c r="B104" s="607" t="s">
        <v>1</v>
      </c>
      <c r="C104" s="607"/>
      <c r="D104" s="607"/>
      <c r="E104" s="607"/>
      <c r="F104" s="151">
        <f>SUM(F101:F103)</f>
        <v>0</v>
      </c>
    </row>
    <row r="105" spans="1:7">
      <c r="A105" s="612" t="s">
        <v>434</v>
      </c>
      <c r="B105" s="612"/>
      <c r="C105" s="612"/>
      <c r="D105" s="612"/>
      <c r="E105" s="612"/>
      <c r="F105" s="612"/>
      <c r="G105" s="612"/>
    </row>
    <row r="108" spans="1:7" ht="18.75">
      <c r="A108">
        <v>2.6</v>
      </c>
      <c r="B108" s="602" t="s">
        <v>247</v>
      </c>
      <c r="C108" s="602"/>
      <c r="D108" s="602"/>
    </row>
    <row r="109" spans="1:7" ht="15.75" thickBot="1"/>
    <row r="110" spans="1:7" ht="29.25" thickBot="1">
      <c r="B110" s="159" t="s">
        <v>140</v>
      </c>
      <c r="C110" s="160" t="s">
        <v>125</v>
      </c>
      <c r="D110" s="160" t="s">
        <v>361</v>
      </c>
    </row>
    <row r="111" spans="1:7" ht="15.75" thickBot="1">
      <c r="B111" s="196">
        <v>1</v>
      </c>
      <c r="C111" s="197" t="s">
        <v>736</v>
      </c>
      <c r="D111" s="328">
        <f>+(G64+G12)*5%</f>
        <v>7.5355044999999992</v>
      </c>
    </row>
    <row r="112" spans="1:7" ht="15.75" thickBot="1">
      <c r="B112" s="196">
        <v>2</v>
      </c>
      <c r="C112" s="197"/>
      <c r="D112" s="177"/>
    </row>
    <row r="113" spans="1:5" ht="15.75" thickBot="1">
      <c r="B113" s="196">
        <v>3</v>
      </c>
      <c r="C113" s="197"/>
      <c r="D113" s="177"/>
    </row>
    <row r="114" spans="1:5" ht="15.75" thickBot="1">
      <c r="B114" s="196"/>
      <c r="C114" s="197"/>
      <c r="D114" s="177"/>
    </row>
    <row r="115" spans="1:5" ht="15.75" thickBot="1">
      <c r="B115" s="196"/>
      <c r="C115" s="197"/>
      <c r="D115" s="177"/>
    </row>
    <row r="116" spans="1:5" ht="15.75" thickBot="1">
      <c r="B116" s="609" t="s">
        <v>1</v>
      </c>
      <c r="C116" s="610"/>
      <c r="D116" s="329">
        <f>SUM(D111:D115)</f>
        <v>7.5355044999999992</v>
      </c>
    </row>
    <row r="118" spans="1:5" ht="26.1" customHeight="1" thickBot="1">
      <c r="A118" s="611" t="s">
        <v>435</v>
      </c>
      <c r="B118" s="611"/>
      <c r="C118" s="611"/>
      <c r="D118" s="611"/>
      <c r="E118" s="611"/>
    </row>
    <row r="119" spans="1:5" ht="26.1" customHeight="1" thickBot="1">
      <c r="A119" s="274">
        <v>2.7</v>
      </c>
      <c r="B119" s="159" t="s">
        <v>140</v>
      </c>
      <c r="C119" s="160" t="s">
        <v>125</v>
      </c>
      <c r="D119" s="160" t="s">
        <v>361</v>
      </c>
      <c r="E119" s="274"/>
    </row>
    <row r="120" spans="1:5" ht="26.1" customHeight="1" thickBot="1">
      <c r="A120" s="274"/>
      <c r="B120" s="196">
        <v>1</v>
      </c>
      <c r="C120" s="197" t="s">
        <v>152</v>
      </c>
      <c r="D120" s="328">
        <f>+'1.Project Cost and MOF'!D11</f>
        <v>1.3744008052083334</v>
      </c>
      <c r="E120" s="274"/>
    </row>
    <row r="121" spans="1:5" ht="26.1" customHeight="1" thickBot="1">
      <c r="A121" s="274"/>
      <c r="B121" s="609" t="s">
        <v>1</v>
      </c>
      <c r="C121" s="610"/>
      <c r="D121" s="329">
        <f>+D120</f>
        <v>1.3744008052083334</v>
      </c>
      <c r="E121" s="274"/>
    </row>
    <row r="122" spans="1:5" ht="26.1" customHeight="1">
      <c r="A122" s="274"/>
      <c r="B122" s="274"/>
      <c r="C122" s="274"/>
      <c r="D122" s="274"/>
      <c r="E122" s="274"/>
    </row>
  </sheetData>
  <mergeCells count="23">
    <mergeCell ref="B121:C121"/>
    <mergeCell ref="B116:C116"/>
    <mergeCell ref="A118:E118"/>
    <mergeCell ref="B62:C62"/>
    <mergeCell ref="A95:G95"/>
    <mergeCell ref="B104:E104"/>
    <mergeCell ref="B98:F98"/>
    <mergeCell ref="A105:G105"/>
    <mergeCell ref="B108:D108"/>
    <mergeCell ref="B79:E79"/>
    <mergeCell ref="B70:F70"/>
    <mergeCell ref="A81:G81"/>
    <mergeCell ref="B93:E93"/>
    <mergeCell ref="B84:F84"/>
    <mergeCell ref="B12:F12"/>
    <mergeCell ref="B2:G2"/>
    <mergeCell ref="B15:G15"/>
    <mergeCell ref="B66:H66"/>
    <mergeCell ref="B64:F64"/>
    <mergeCell ref="B17:H17"/>
    <mergeCell ref="B32:C32"/>
    <mergeCell ref="B47:C47"/>
    <mergeCell ref="B55:C55"/>
  </mergeCells>
  <pageMargins left="0.7" right="0.7" top="0.75" bottom="0.75" header="0.3" footer="0.3"/>
  <pageSetup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topLeftCell="A15" zoomScale="145" zoomScaleSheetLayoutView="145" workbookViewId="0">
      <selection activeCell="D4" sqref="D4:D8"/>
    </sheetView>
  </sheetViews>
  <sheetFormatPr defaultRowHeight="15"/>
  <cols>
    <col min="2" max="2" width="15.42578125" customWidth="1"/>
    <col min="3" max="3" width="28.140625" customWidth="1"/>
    <col min="4" max="4" width="14.7109375" customWidth="1"/>
    <col min="5" max="5" width="25.85546875" bestFit="1" customWidth="1"/>
    <col min="6" max="6" width="12.140625" style="519" customWidth="1"/>
    <col min="7" max="7" width="27.28515625" bestFit="1" customWidth="1"/>
    <col min="8" max="8" width="12.28515625" bestFit="1" customWidth="1"/>
    <col min="9" max="9" width="11.7109375" bestFit="1" customWidth="1"/>
  </cols>
  <sheetData>
    <row r="2" spans="1:7" ht="18.75">
      <c r="A2" s="602" t="s">
        <v>521</v>
      </c>
      <c r="B2" s="602"/>
      <c r="C2" s="602"/>
      <c r="D2" s="602"/>
      <c r="E2" s="602"/>
      <c r="F2" s="602"/>
      <c r="G2" s="614"/>
    </row>
    <row r="3" spans="1:7">
      <c r="B3" s="13"/>
      <c r="C3" s="13"/>
      <c r="D3" s="13"/>
      <c r="E3" s="13"/>
      <c r="F3" s="522"/>
      <c r="G3" s="13"/>
    </row>
    <row r="4" spans="1:7">
      <c r="A4" s="62"/>
      <c r="B4" s="62"/>
      <c r="C4" s="62" t="s">
        <v>452</v>
      </c>
      <c r="D4" s="342">
        <f>'1.Project Cost and MOF'!E20</f>
        <v>31.649118899999998</v>
      </c>
      <c r="E4" s="62"/>
      <c r="F4" s="342"/>
      <c r="G4" s="62"/>
    </row>
    <row r="5" spans="1:7">
      <c r="A5" s="62"/>
      <c r="B5" s="62"/>
      <c r="C5" s="62" t="s">
        <v>453</v>
      </c>
      <c r="D5" s="124">
        <v>0.09</v>
      </c>
      <c r="E5" s="62"/>
      <c r="F5" s="342"/>
      <c r="G5" s="62"/>
    </row>
    <row r="6" spans="1:7">
      <c r="A6" s="62"/>
      <c r="B6" s="62"/>
      <c r="C6" s="62" t="s">
        <v>454</v>
      </c>
      <c r="D6" s="62">
        <v>4</v>
      </c>
      <c r="E6" s="62"/>
      <c r="F6" s="342"/>
      <c r="G6" s="62"/>
    </row>
    <row r="7" spans="1:7">
      <c r="A7" s="62"/>
      <c r="B7" s="62"/>
      <c r="C7" s="62" t="s">
        <v>455</v>
      </c>
      <c r="D7" s="62">
        <v>6</v>
      </c>
      <c r="E7" s="62"/>
      <c r="F7" s="342"/>
      <c r="G7" s="62"/>
    </row>
    <row r="8" spans="1:7">
      <c r="A8" s="62"/>
      <c r="B8" s="62"/>
      <c r="C8" s="62" t="s">
        <v>21</v>
      </c>
      <c r="D8" s="145">
        <f>PMT(D5/12,(D6-(D7/12))*12,-D4)</f>
        <v>0.88125444585534152</v>
      </c>
      <c r="E8" s="145"/>
      <c r="F8" s="342"/>
      <c r="G8" s="62"/>
    </row>
    <row r="9" spans="1:7">
      <c r="A9" s="103" t="s">
        <v>281</v>
      </c>
      <c r="B9" s="146" t="s">
        <v>17</v>
      </c>
      <c r="C9" s="147" t="s">
        <v>18</v>
      </c>
      <c r="D9" s="147" t="s">
        <v>19</v>
      </c>
      <c r="E9" s="147" t="s">
        <v>20</v>
      </c>
      <c r="F9" s="523" t="s">
        <v>21</v>
      </c>
      <c r="G9" s="147" t="s">
        <v>22</v>
      </c>
    </row>
    <row r="10" spans="1:7">
      <c r="A10" s="63" t="s">
        <v>10</v>
      </c>
      <c r="B10" s="63" t="s">
        <v>49</v>
      </c>
      <c r="C10" s="64">
        <f>D4</f>
        <v>31.649118899999998</v>
      </c>
      <c r="D10" s="308">
        <f t="shared" ref="D10:D41" si="0">C10*$D$5/12</f>
        <v>0.23736839174999999</v>
      </c>
      <c r="E10" s="64">
        <f t="shared" ref="E10:E15" si="1">F10-D10</f>
        <v>0</v>
      </c>
      <c r="F10" s="308">
        <f>D10</f>
        <v>0.23736839174999999</v>
      </c>
      <c r="G10" s="308">
        <f>C10-E10</f>
        <v>31.649118899999998</v>
      </c>
    </row>
    <row r="11" spans="1:7">
      <c r="A11" s="63"/>
      <c r="B11" s="63" t="s">
        <v>50</v>
      </c>
      <c r="C11" s="64">
        <f>G10</f>
        <v>31.649118899999998</v>
      </c>
      <c r="D11" s="308">
        <f t="shared" si="0"/>
        <v>0.23736839174999999</v>
      </c>
      <c r="E11" s="64">
        <f t="shared" si="1"/>
        <v>0</v>
      </c>
      <c r="F11" s="308">
        <f t="shared" ref="F11:F15" si="2">D11</f>
        <v>0.23736839174999999</v>
      </c>
      <c r="G11" s="308">
        <f t="shared" ref="G11:G57" si="3">C11-E11</f>
        <v>31.649118899999998</v>
      </c>
    </row>
    <row r="12" spans="1:7">
      <c r="A12" s="63"/>
      <c r="B12" s="63" t="s">
        <v>51</v>
      </c>
      <c r="C12" s="64">
        <f t="shared" ref="C12:C57" si="4">G11</f>
        <v>31.649118899999998</v>
      </c>
      <c r="D12" s="308">
        <f t="shared" si="0"/>
        <v>0.23736839174999999</v>
      </c>
      <c r="E12" s="64">
        <f t="shared" si="1"/>
        <v>0</v>
      </c>
      <c r="F12" s="308">
        <f t="shared" si="2"/>
        <v>0.23736839174999999</v>
      </c>
      <c r="G12" s="308">
        <f t="shared" si="3"/>
        <v>31.649118899999998</v>
      </c>
    </row>
    <row r="13" spans="1:7">
      <c r="A13" s="63"/>
      <c r="B13" s="63" t="s">
        <v>52</v>
      </c>
      <c r="C13" s="64">
        <f t="shared" si="4"/>
        <v>31.649118899999998</v>
      </c>
      <c r="D13" s="308">
        <f t="shared" si="0"/>
        <v>0.23736839174999999</v>
      </c>
      <c r="E13" s="64">
        <f t="shared" si="1"/>
        <v>0</v>
      </c>
      <c r="F13" s="308">
        <f t="shared" si="2"/>
        <v>0.23736839174999999</v>
      </c>
      <c r="G13" s="308">
        <f t="shared" si="3"/>
        <v>31.649118899999998</v>
      </c>
    </row>
    <row r="14" spans="1:7">
      <c r="A14" s="63"/>
      <c r="B14" s="63" t="s">
        <v>53</v>
      </c>
      <c r="C14" s="64">
        <f t="shared" si="4"/>
        <v>31.649118899999998</v>
      </c>
      <c r="D14" s="308">
        <f t="shared" si="0"/>
        <v>0.23736839174999999</v>
      </c>
      <c r="E14" s="64">
        <f t="shared" si="1"/>
        <v>0</v>
      </c>
      <c r="F14" s="308">
        <f t="shared" si="2"/>
        <v>0.23736839174999999</v>
      </c>
      <c r="G14" s="308">
        <f t="shared" si="3"/>
        <v>31.649118899999998</v>
      </c>
    </row>
    <row r="15" spans="1:7">
      <c r="A15" s="63"/>
      <c r="B15" s="63" t="s">
        <v>54</v>
      </c>
      <c r="C15" s="64">
        <f t="shared" si="4"/>
        <v>31.649118899999998</v>
      </c>
      <c r="D15" s="308">
        <f t="shared" si="0"/>
        <v>0.23736839174999999</v>
      </c>
      <c r="E15" s="64">
        <f t="shared" si="1"/>
        <v>0</v>
      </c>
      <c r="F15" s="308">
        <f t="shared" si="2"/>
        <v>0.23736839174999999</v>
      </c>
      <c r="G15" s="308">
        <f t="shared" si="3"/>
        <v>31.649118899999998</v>
      </c>
    </row>
    <row r="16" spans="1:7">
      <c r="A16" s="63"/>
      <c r="B16" s="63" t="s">
        <v>55</v>
      </c>
      <c r="C16" s="64">
        <f t="shared" si="4"/>
        <v>31.649118899999998</v>
      </c>
      <c r="D16" s="308">
        <f t="shared" si="0"/>
        <v>0.23736839174999999</v>
      </c>
      <c r="E16" s="308">
        <f>F16-D16</f>
        <v>0.6438860541053415</v>
      </c>
      <c r="F16" s="308">
        <f t="shared" ref="F16:F57" si="5">$D$8</f>
        <v>0.88125444585534152</v>
      </c>
      <c r="G16" s="308">
        <f t="shared" si="3"/>
        <v>31.005232845894657</v>
      </c>
    </row>
    <row r="17" spans="1:9">
      <c r="A17" s="63"/>
      <c r="B17" s="63" t="s">
        <v>56</v>
      </c>
      <c r="C17" s="64">
        <f t="shared" si="4"/>
        <v>31.005232845894657</v>
      </c>
      <c r="D17" s="308">
        <f t="shared" si="0"/>
        <v>0.23253924634420994</v>
      </c>
      <c r="E17" s="308">
        <f t="shared" ref="E17:E57" si="6">F17-D17</f>
        <v>0.64871519951113155</v>
      </c>
      <c r="F17" s="308">
        <f t="shared" si="5"/>
        <v>0.88125444585534152</v>
      </c>
      <c r="G17" s="308">
        <f t="shared" si="3"/>
        <v>30.356517646383526</v>
      </c>
    </row>
    <row r="18" spans="1:9">
      <c r="A18" s="63"/>
      <c r="B18" s="63" t="s">
        <v>57</v>
      </c>
      <c r="C18" s="64">
        <f t="shared" si="4"/>
        <v>30.356517646383526</v>
      </c>
      <c r="D18" s="308">
        <f t="shared" si="0"/>
        <v>0.22767388234787644</v>
      </c>
      <c r="E18" s="308">
        <f t="shared" si="6"/>
        <v>0.65358056350746507</v>
      </c>
      <c r="F18" s="308">
        <f t="shared" si="5"/>
        <v>0.88125444585534152</v>
      </c>
      <c r="G18" s="308">
        <f t="shared" si="3"/>
        <v>29.702937082876062</v>
      </c>
    </row>
    <row r="19" spans="1:9">
      <c r="A19" s="63"/>
      <c r="B19" s="63" t="s">
        <v>58</v>
      </c>
      <c r="C19" s="64">
        <f t="shared" si="4"/>
        <v>29.702937082876062</v>
      </c>
      <c r="D19" s="308">
        <f t="shared" si="0"/>
        <v>0.22277202812157046</v>
      </c>
      <c r="E19" s="308">
        <f t="shared" si="6"/>
        <v>0.65848241773377103</v>
      </c>
      <c r="F19" s="308">
        <f t="shared" si="5"/>
        <v>0.88125444585534152</v>
      </c>
      <c r="G19" s="308">
        <f t="shared" si="3"/>
        <v>29.04445466514229</v>
      </c>
    </row>
    <row r="20" spans="1:9">
      <c r="A20" s="63"/>
      <c r="B20" s="63" t="s">
        <v>59</v>
      </c>
      <c r="C20" s="64">
        <f t="shared" si="4"/>
        <v>29.04445466514229</v>
      </c>
      <c r="D20" s="308">
        <f t="shared" si="0"/>
        <v>0.21783340998856715</v>
      </c>
      <c r="E20" s="308">
        <f t="shared" si="6"/>
        <v>0.66342103586677437</v>
      </c>
      <c r="F20" s="308">
        <f t="shared" si="5"/>
        <v>0.88125444585534152</v>
      </c>
      <c r="G20" s="308">
        <f t="shared" si="3"/>
        <v>28.381033629275514</v>
      </c>
    </row>
    <row r="21" spans="1:9">
      <c r="A21" s="63"/>
      <c r="B21" s="63" t="s">
        <v>60</v>
      </c>
      <c r="C21" s="64">
        <f t="shared" si="4"/>
        <v>28.381033629275514</v>
      </c>
      <c r="D21" s="308">
        <f t="shared" si="0"/>
        <v>0.21285775221956635</v>
      </c>
      <c r="E21" s="308">
        <f t="shared" si="6"/>
        <v>0.66839669363577514</v>
      </c>
      <c r="F21" s="308">
        <f t="shared" si="5"/>
        <v>0.88125444585534152</v>
      </c>
      <c r="G21" s="308">
        <f t="shared" si="3"/>
        <v>27.71263693563974</v>
      </c>
      <c r="H21" s="1"/>
      <c r="I21" s="1"/>
    </row>
    <row r="22" spans="1:9">
      <c r="A22" s="63" t="s">
        <v>11</v>
      </c>
      <c r="B22" s="63" t="s">
        <v>61</v>
      </c>
      <c r="C22" s="64">
        <f t="shared" si="4"/>
        <v>27.71263693563974</v>
      </c>
      <c r="D22" s="308">
        <f t="shared" si="0"/>
        <v>0.20784477701729806</v>
      </c>
      <c r="E22" s="308">
        <f t="shared" si="6"/>
        <v>0.67340966883804343</v>
      </c>
      <c r="F22" s="308">
        <f t="shared" si="5"/>
        <v>0.88125444585534152</v>
      </c>
      <c r="G22" s="308">
        <f t="shared" si="3"/>
        <v>27.039227266801696</v>
      </c>
    </row>
    <row r="23" spans="1:9">
      <c r="A23" s="63"/>
      <c r="B23" s="63" t="s">
        <v>62</v>
      </c>
      <c r="C23" s="64">
        <f t="shared" si="4"/>
        <v>27.039227266801696</v>
      </c>
      <c r="D23" s="308">
        <f t="shared" si="0"/>
        <v>0.20279420450101271</v>
      </c>
      <c r="E23" s="308">
        <f t="shared" si="6"/>
        <v>0.67846024135432881</v>
      </c>
      <c r="F23" s="308">
        <f t="shared" si="5"/>
        <v>0.88125444585534152</v>
      </c>
      <c r="G23" s="308">
        <f t="shared" si="3"/>
        <v>26.360767025447366</v>
      </c>
    </row>
    <row r="24" spans="1:9">
      <c r="A24" s="63"/>
      <c r="B24" s="63" t="s">
        <v>63</v>
      </c>
      <c r="C24" s="64">
        <f t="shared" si="4"/>
        <v>26.360767025447366</v>
      </c>
      <c r="D24" s="308">
        <f t="shared" si="0"/>
        <v>0.19770575269085525</v>
      </c>
      <c r="E24" s="308">
        <f t="shared" si="6"/>
        <v>0.6835486931644863</v>
      </c>
      <c r="F24" s="308">
        <f t="shared" si="5"/>
        <v>0.88125444585534152</v>
      </c>
      <c r="G24" s="308">
        <f t="shared" si="3"/>
        <v>25.67721833228288</v>
      </c>
    </row>
    <row r="25" spans="1:9">
      <c r="A25" s="63"/>
      <c r="B25" s="63" t="s">
        <v>64</v>
      </c>
      <c r="C25" s="64">
        <f t="shared" si="4"/>
        <v>25.67721833228288</v>
      </c>
      <c r="D25" s="308">
        <f t="shared" si="0"/>
        <v>0.1925791374921216</v>
      </c>
      <c r="E25" s="308">
        <f t="shared" si="6"/>
        <v>0.68867530836321988</v>
      </c>
      <c r="F25" s="308">
        <f t="shared" si="5"/>
        <v>0.88125444585534152</v>
      </c>
      <c r="G25" s="308">
        <f t="shared" si="3"/>
        <v>24.988543023919661</v>
      </c>
    </row>
    <row r="26" spans="1:9">
      <c r="A26" s="63"/>
      <c r="B26" s="63" t="s">
        <v>65</v>
      </c>
      <c r="C26" s="64">
        <f t="shared" si="4"/>
        <v>24.988543023919661</v>
      </c>
      <c r="D26" s="308">
        <f t="shared" si="0"/>
        <v>0.18741407267939744</v>
      </c>
      <c r="E26" s="308">
        <f t="shared" si="6"/>
        <v>0.69384037317594405</v>
      </c>
      <c r="F26" s="308">
        <f t="shared" si="5"/>
        <v>0.88125444585534152</v>
      </c>
      <c r="G26" s="308">
        <f t="shared" si="3"/>
        <v>24.294702650743716</v>
      </c>
    </row>
    <row r="27" spans="1:9">
      <c r="A27" s="63"/>
      <c r="B27" s="63" t="s">
        <v>66</v>
      </c>
      <c r="C27" s="64">
        <f t="shared" si="4"/>
        <v>24.294702650743716</v>
      </c>
      <c r="D27" s="308">
        <f t="shared" si="0"/>
        <v>0.18221026988057787</v>
      </c>
      <c r="E27" s="308">
        <f t="shared" si="6"/>
        <v>0.69904417597476365</v>
      </c>
      <c r="F27" s="308">
        <f t="shared" si="5"/>
        <v>0.88125444585534152</v>
      </c>
      <c r="G27" s="308">
        <f t="shared" si="3"/>
        <v>23.595658474768953</v>
      </c>
    </row>
    <row r="28" spans="1:9">
      <c r="A28" s="63"/>
      <c r="B28" s="63" t="s">
        <v>67</v>
      </c>
      <c r="C28" s="64">
        <f t="shared" si="4"/>
        <v>23.595658474768953</v>
      </c>
      <c r="D28" s="308">
        <f t="shared" si="0"/>
        <v>0.17696743856076713</v>
      </c>
      <c r="E28" s="308">
        <f t="shared" si="6"/>
        <v>0.70428700729457439</v>
      </c>
      <c r="F28" s="308">
        <f t="shared" si="5"/>
        <v>0.88125444585534152</v>
      </c>
      <c r="G28" s="308">
        <f t="shared" si="3"/>
        <v>22.891371467474379</v>
      </c>
    </row>
    <row r="29" spans="1:9">
      <c r="A29" s="63"/>
      <c r="B29" s="63" t="s">
        <v>68</v>
      </c>
      <c r="C29" s="64">
        <f t="shared" si="4"/>
        <v>22.891371467474379</v>
      </c>
      <c r="D29" s="308">
        <f t="shared" si="0"/>
        <v>0.17168528600605784</v>
      </c>
      <c r="E29" s="308">
        <f t="shared" si="6"/>
        <v>0.7095691598492837</v>
      </c>
      <c r="F29" s="308">
        <f t="shared" si="5"/>
        <v>0.88125444585534152</v>
      </c>
      <c r="G29" s="308">
        <f t="shared" si="3"/>
        <v>22.181802307625095</v>
      </c>
    </row>
    <row r="30" spans="1:9">
      <c r="A30" s="63"/>
      <c r="B30" s="63" t="s">
        <v>69</v>
      </c>
      <c r="C30" s="64">
        <f t="shared" si="4"/>
        <v>22.181802307625095</v>
      </c>
      <c r="D30" s="308">
        <f t="shared" si="0"/>
        <v>0.16636351730718821</v>
      </c>
      <c r="E30" s="308">
        <f t="shared" si="6"/>
        <v>0.71489092854815328</v>
      </c>
      <c r="F30" s="308">
        <f t="shared" si="5"/>
        <v>0.88125444585534152</v>
      </c>
      <c r="G30" s="308">
        <f t="shared" si="3"/>
        <v>21.46691137907694</v>
      </c>
    </row>
    <row r="31" spans="1:9">
      <c r="A31" s="63"/>
      <c r="B31" s="63" t="s">
        <v>70</v>
      </c>
      <c r="C31" s="64">
        <f t="shared" si="4"/>
        <v>21.46691137907694</v>
      </c>
      <c r="D31" s="308">
        <f t="shared" si="0"/>
        <v>0.16100183534307705</v>
      </c>
      <c r="E31" s="308">
        <f t="shared" si="6"/>
        <v>0.72025261051226441</v>
      </c>
      <c r="F31" s="308">
        <f t="shared" si="5"/>
        <v>0.88125444585534152</v>
      </c>
      <c r="G31" s="308">
        <f t="shared" si="3"/>
        <v>20.746658768564675</v>
      </c>
    </row>
    <row r="32" spans="1:9">
      <c r="A32" s="63"/>
      <c r="B32" s="63" t="s">
        <v>71</v>
      </c>
      <c r="C32" s="64">
        <f t="shared" si="4"/>
        <v>20.746658768564675</v>
      </c>
      <c r="D32" s="308">
        <f t="shared" si="0"/>
        <v>0.15559994076423506</v>
      </c>
      <c r="E32" s="308">
        <f t="shared" si="6"/>
        <v>0.72565450509110652</v>
      </c>
      <c r="F32" s="308">
        <f t="shared" si="5"/>
        <v>0.88125444585534152</v>
      </c>
      <c r="G32" s="308">
        <f t="shared" si="3"/>
        <v>20.021004263473568</v>
      </c>
    </row>
    <row r="33" spans="1:9">
      <c r="A33" s="63"/>
      <c r="B33" s="63" t="s">
        <v>72</v>
      </c>
      <c r="C33" s="64">
        <f t="shared" si="4"/>
        <v>20.021004263473568</v>
      </c>
      <c r="D33" s="308">
        <f t="shared" si="0"/>
        <v>0.15015753197605175</v>
      </c>
      <c r="E33" s="308">
        <f t="shared" si="6"/>
        <v>0.73109691387928977</v>
      </c>
      <c r="F33" s="308">
        <f t="shared" si="5"/>
        <v>0.88125444585534152</v>
      </c>
      <c r="G33" s="308">
        <f t="shared" si="3"/>
        <v>19.289907349594277</v>
      </c>
      <c r="H33" s="1"/>
      <c r="I33" s="1"/>
    </row>
    <row r="34" spans="1:9">
      <c r="A34" s="63" t="s">
        <v>12</v>
      </c>
      <c r="B34" s="63" t="s">
        <v>73</v>
      </c>
      <c r="C34" s="64">
        <f t="shared" si="4"/>
        <v>19.289907349594277</v>
      </c>
      <c r="D34" s="308">
        <f t="shared" si="0"/>
        <v>0.14467430512195709</v>
      </c>
      <c r="E34" s="308">
        <f t="shared" si="6"/>
        <v>0.7365801407333844</v>
      </c>
      <c r="F34" s="308">
        <f t="shared" si="5"/>
        <v>0.88125444585534152</v>
      </c>
      <c r="G34" s="308">
        <f t="shared" si="3"/>
        <v>18.553327208860892</v>
      </c>
    </row>
    <row r="35" spans="1:9">
      <c r="A35" s="63"/>
      <c r="B35" s="63" t="s">
        <v>74</v>
      </c>
      <c r="C35" s="64">
        <f t="shared" si="4"/>
        <v>18.553327208860892</v>
      </c>
      <c r="D35" s="308">
        <f t="shared" si="0"/>
        <v>0.13914995406645669</v>
      </c>
      <c r="E35" s="308">
        <f t="shared" si="6"/>
        <v>0.74210449178888482</v>
      </c>
      <c r="F35" s="308">
        <f t="shared" si="5"/>
        <v>0.88125444585534152</v>
      </c>
      <c r="G35" s="308">
        <f t="shared" si="3"/>
        <v>17.811222717072006</v>
      </c>
    </row>
    <row r="36" spans="1:9">
      <c r="A36" s="63"/>
      <c r="B36" s="63" t="s">
        <v>75</v>
      </c>
      <c r="C36" s="64">
        <f t="shared" si="4"/>
        <v>17.811222717072006</v>
      </c>
      <c r="D36" s="308">
        <f t="shared" si="0"/>
        <v>0.13358417037804005</v>
      </c>
      <c r="E36" s="308">
        <f t="shared" si="6"/>
        <v>0.74767027547730147</v>
      </c>
      <c r="F36" s="308">
        <f t="shared" si="5"/>
        <v>0.88125444585534152</v>
      </c>
      <c r="G36" s="308">
        <f t="shared" si="3"/>
        <v>17.063552441594705</v>
      </c>
    </row>
    <row r="37" spans="1:9">
      <c r="A37" s="63"/>
      <c r="B37" s="63" t="s">
        <v>76</v>
      </c>
      <c r="C37" s="64">
        <f t="shared" si="4"/>
        <v>17.063552441594705</v>
      </c>
      <c r="D37" s="308">
        <f t="shared" si="0"/>
        <v>0.12797664331196029</v>
      </c>
      <c r="E37" s="308">
        <f t="shared" si="6"/>
        <v>0.75327780254338128</v>
      </c>
      <c r="F37" s="308">
        <f t="shared" si="5"/>
        <v>0.88125444585534152</v>
      </c>
      <c r="G37" s="308">
        <f t="shared" si="3"/>
        <v>16.310274639051325</v>
      </c>
    </row>
    <row r="38" spans="1:9">
      <c r="A38" s="63"/>
      <c r="B38" s="63" t="s">
        <v>77</v>
      </c>
      <c r="C38" s="64">
        <f t="shared" si="4"/>
        <v>16.310274639051325</v>
      </c>
      <c r="D38" s="308">
        <f t="shared" si="0"/>
        <v>0.12232705979288494</v>
      </c>
      <c r="E38" s="308">
        <f t="shared" si="6"/>
        <v>0.75892738606245658</v>
      </c>
      <c r="F38" s="308">
        <f t="shared" si="5"/>
        <v>0.88125444585534152</v>
      </c>
      <c r="G38" s="308">
        <f t="shared" si="3"/>
        <v>15.551347252988869</v>
      </c>
    </row>
    <row r="39" spans="1:9">
      <c r="A39" s="63"/>
      <c r="B39" s="63" t="s">
        <v>78</v>
      </c>
      <c r="C39" s="64">
        <f t="shared" si="4"/>
        <v>15.551347252988869</v>
      </c>
      <c r="D39" s="308">
        <f t="shared" si="0"/>
        <v>0.11663510439741652</v>
      </c>
      <c r="E39" s="308">
        <f t="shared" si="6"/>
        <v>0.76461934145792498</v>
      </c>
      <c r="F39" s="308">
        <f t="shared" si="5"/>
        <v>0.88125444585534152</v>
      </c>
      <c r="G39" s="308">
        <f t="shared" si="3"/>
        <v>14.786727911530944</v>
      </c>
    </row>
    <row r="40" spans="1:9">
      <c r="A40" s="63"/>
      <c r="B40" s="63" t="s">
        <v>79</v>
      </c>
      <c r="C40" s="64">
        <f t="shared" si="4"/>
        <v>14.786727911530944</v>
      </c>
      <c r="D40" s="308">
        <f t="shared" si="0"/>
        <v>0.11090045933648207</v>
      </c>
      <c r="E40" s="308">
        <f t="shared" si="6"/>
        <v>0.77035398651885945</v>
      </c>
      <c r="F40" s="308">
        <f t="shared" si="5"/>
        <v>0.88125444585534152</v>
      </c>
      <c r="G40" s="308">
        <f t="shared" si="3"/>
        <v>14.016373925012084</v>
      </c>
    </row>
    <row r="41" spans="1:9">
      <c r="A41" s="63"/>
      <c r="B41" s="63" t="s">
        <v>80</v>
      </c>
      <c r="C41" s="64">
        <f t="shared" si="4"/>
        <v>14.016373925012084</v>
      </c>
      <c r="D41" s="308">
        <f t="shared" si="0"/>
        <v>0.10512280443759063</v>
      </c>
      <c r="E41" s="308">
        <f t="shared" si="6"/>
        <v>0.77613164141775093</v>
      </c>
      <c r="F41" s="308">
        <f t="shared" si="5"/>
        <v>0.88125444585534152</v>
      </c>
      <c r="G41" s="308">
        <f t="shared" si="3"/>
        <v>13.240242283594334</v>
      </c>
    </row>
    <row r="42" spans="1:9">
      <c r="A42" s="63"/>
      <c r="B42" s="63" t="s">
        <v>81</v>
      </c>
      <c r="C42" s="64">
        <f t="shared" si="4"/>
        <v>13.240242283594334</v>
      </c>
      <c r="D42" s="308">
        <f t="shared" ref="D42:D57" si="7">C42*$D$5/12</f>
        <v>9.9301817126957501E-2</v>
      </c>
      <c r="E42" s="308">
        <f t="shared" si="6"/>
        <v>0.781952628728384</v>
      </c>
      <c r="F42" s="308">
        <f t="shared" si="5"/>
        <v>0.88125444585534152</v>
      </c>
      <c r="G42" s="308">
        <f t="shared" si="3"/>
        <v>12.458289654865951</v>
      </c>
    </row>
    <row r="43" spans="1:9">
      <c r="A43" s="63"/>
      <c r="B43" s="63" t="s">
        <v>82</v>
      </c>
      <c r="C43" s="64">
        <f t="shared" si="4"/>
        <v>12.458289654865951</v>
      </c>
      <c r="D43" s="308">
        <f t="shared" si="7"/>
        <v>9.3437172411494629E-2</v>
      </c>
      <c r="E43" s="308">
        <f t="shared" si="6"/>
        <v>0.78781727344384689</v>
      </c>
      <c r="F43" s="308">
        <f t="shared" si="5"/>
        <v>0.88125444585534152</v>
      </c>
      <c r="G43" s="308">
        <f t="shared" si="3"/>
        <v>11.670472381422103</v>
      </c>
    </row>
    <row r="44" spans="1:9">
      <c r="A44" s="63"/>
      <c r="B44" s="63" t="s">
        <v>83</v>
      </c>
      <c r="C44" s="64">
        <f t="shared" si="4"/>
        <v>11.670472381422103</v>
      </c>
      <c r="D44" s="308">
        <f t="shared" si="7"/>
        <v>8.7528542860665762E-2</v>
      </c>
      <c r="E44" s="308">
        <f t="shared" si="6"/>
        <v>0.79372590299467571</v>
      </c>
      <c r="F44" s="308">
        <f t="shared" si="5"/>
        <v>0.88125444585534152</v>
      </c>
      <c r="G44" s="308">
        <f t="shared" si="3"/>
        <v>10.876746478427428</v>
      </c>
    </row>
    <row r="45" spans="1:9">
      <c r="A45" s="63"/>
      <c r="B45" s="63" t="s">
        <v>84</v>
      </c>
      <c r="C45" s="64">
        <f t="shared" si="4"/>
        <v>10.876746478427428</v>
      </c>
      <c r="D45" s="308">
        <f t="shared" si="7"/>
        <v>8.1575598588205706E-2</v>
      </c>
      <c r="E45" s="308">
        <f t="shared" si="6"/>
        <v>0.79967884726713578</v>
      </c>
      <c r="F45" s="308">
        <f t="shared" si="5"/>
        <v>0.88125444585534152</v>
      </c>
      <c r="G45" s="308">
        <f t="shared" si="3"/>
        <v>10.077067631160292</v>
      </c>
      <c r="H45" s="1"/>
      <c r="I45" s="1"/>
    </row>
    <row r="46" spans="1:9">
      <c r="A46" s="63" t="s">
        <v>13</v>
      </c>
      <c r="B46" s="63" t="s">
        <v>85</v>
      </c>
      <c r="C46" s="64">
        <f t="shared" si="4"/>
        <v>10.077067631160292</v>
      </c>
      <c r="D46" s="308">
        <f t="shared" si="7"/>
        <v>7.5578007233702185E-2</v>
      </c>
      <c r="E46" s="308">
        <f t="shared" si="6"/>
        <v>0.80567643862163929</v>
      </c>
      <c r="F46" s="308">
        <f t="shared" si="5"/>
        <v>0.88125444585534152</v>
      </c>
      <c r="G46" s="308">
        <f t="shared" si="3"/>
        <v>9.271391192538653</v>
      </c>
    </row>
    <row r="47" spans="1:9">
      <c r="A47" s="63"/>
      <c r="B47" s="63" t="s">
        <v>86</v>
      </c>
      <c r="C47" s="64">
        <f t="shared" si="4"/>
        <v>9.271391192538653</v>
      </c>
      <c r="D47" s="308">
        <f t="shared" si="7"/>
        <v>6.9535433944039896E-2</v>
      </c>
      <c r="E47" s="308">
        <f t="shared" si="6"/>
        <v>0.81171901191130158</v>
      </c>
      <c r="F47" s="308">
        <f t="shared" si="5"/>
        <v>0.88125444585534152</v>
      </c>
      <c r="G47" s="308">
        <f t="shared" si="3"/>
        <v>8.4596721806273507</v>
      </c>
    </row>
    <row r="48" spans="1:9">
      <c r="A48" s="63"/>
      <c r="B48" s="63" t="s">
        <v>87</v>
      </c>
      <c r="C48" s="64">
        <f t="shared" si="4"/>
        <v>8.4596721806273507</v>
      </c>
      <c r="D48" s="308">
        <f t="shared" si="7"/>
        <v>6.3447541354705136E-2</v>
      </c>
      <c r="E48" s="308">
        <f t="shared" si="6"/>
        <v>0.81780690450063642</v>
      </c>
      <c r="F48" s="308">
        <f t="shared" si="5"/>
        <v>0.88125444585534152</v>
      </c>
      <c r="G48" s="308">
        <f t="shared" si="3"/>
        <v>7.6418652761267145</v>
      </c>
    </row>
    <row r="49" spans="1:9">
      <c r="A49" s="63"/>
      <c r="B49" s="63" t="s">
        <v>88</v>
      </c>
      <c r="C49" s="64">
        <f t="shared" si="4"/>
        <v>7.6418652761267145</v>
      </c>
      <c r="D49" s="308">
        <f t="shared" si="7"/>
        <v>5.7313989570950352E-2</v>
      </c>
      <c r="E49" s="308">
        <f t="shared" si="6"/>
        <v>0.82394045628439117</v>
      </c>
      <c r="F49" s="308">
        <f t="shared" si="5"/>
        <v>0.88125444585534152</v>
      </c>
      <c r="G49" s="308">
        <f t="shared" si="3"/>
        <v>6.8179248198423235</v>
      </c>
    </row>
    <row r="50" spans="1:9">
      <c r="A50" s="63"/>
      <c r="B50" s="63" t="s">
        <v>89</v>
      </c>
      <c r="C50" s="64">
        <f t="shared" si="4"/>
        <v>6.8179248198423235</v>
      </c>
      <c r="D50" s="308">
        <f t="shared" si="7"/>
        <v>5.1134436148817429E-2</v>
      </c>
      <c r="E50" s="308">
        <f t="shared" si="6"/>
        <v>0.83012000970652411</v>
      </c>
      <c r="F50" s="308">
        <f t="shared" si="5"/>
        <v>0.88125444585534152</v>
      </c>
      <c r="G50" s="308">
        <f t="shared" si="3"/>
        <v>5.987804810135799</v>
      </c>
    </row>
    <row r="51" spans="1:9">
      <c r="A51" s="63"/>
      <c r="B51" s="63" t="s">
        <v>90</v>
      </c>
      <c r="C51" s="64">
        <f t="shared" si="4"/>
        <v>5.987804810135799</v>
      </c>
      <c r="D51" s="308">
        <f t="shared" si="7"/>
        <v>4.4908536076018489E-2</v>
      </c>
      <c r="E51" s="308">
        <f t="shared" si="6"/>
        <v>0.83634590977932299</v>
      </c>
      <c r="F51" s="308">
        <f t="shared" si="5"/>
        <v>0.88125444585534152</v>
      </c>
      <c r="G51" s="308">
        <f t="shared" si="3"/>
        <v>5.1514589003564764</v>
      </c>
    </row>
    <row r="52" spans="1:9">
      <c r="A52" s="63"/>
      <c r="B52" s="63" t="s">
        <v>91</v>
      </c>
      <c r="C52" s="64">
        <f t="shared" si="4"/>
        <v>5.1514589003564764</v>
      </c>
      <c r="D52" s="308">
        <f t="shared" si="7"/>
        <v>3.8635941752673569E-2</v>
      </c>
      <c r="E52" s="308">
        <f t="shared" si="6"/>
        <v>0.84261850410266792</v>
      </c>
      <c r="F52" s="308">
        <f t="shared" si="5"/>
        <v>0.88125444585534152</v>
      </c>
      <c r="G52" s="308">
        <f t="shared" si="3"/>
        <v>4.3088403962538084</v>
      </c>
    </row>
    <row r="53" spans="1:9">
      <c r="A53" s="63"/>
      <c r="B53" s="63" t="s">
        <v>92</v>
      </c>
      <c r="C53" s="64">
        <f t="shared" si="4"/>
        <v>4.3088403962538084</v>
      </c>
      <c r="D53" s="308">
        <f t="shared" si="7"/>
        <v>3.2316302971903563E-2</v>
      </c>
      <c r="E53" s="308">
        <f t="shared" si="6"/>
        <v>0.84893814288343794</v>
      </c>
      <c r="F53" s="308">
        <f t="shared" si="5"/>
        <v>0.88125444585534152</v>
      </c>
      <c r="G53" s="308">
        <f t="shared" si="3"/>
        <v>3.4599022533703705</v>
      </c>
    </row>
    <row r="54" spans="1:9">
      <c r="A54" s="63"/>
      <c r="B54" s="63" t="s">
        <v>93</v>
      </c>
      <c r="C54" s="64">
        <f t="shared" si="4"/>
        <v>3.4599022533703705</v>
      </c>
      <c r="D54" s="308">
        <f t="shared" si="7"/>
        <v>2.5949266900277778E-2</v>
      </c>
      <c r="E54" s="308">
        <f t="shared" si="6"/>
        <v>0.85530517895506375</v>
      </c>
      <c r="F54" s="308">
        <f t="shared" si="5"/>
        <v>0.88125444585534152</v>
      </c>
      <c r="G54" s="308">
        <f t="shared" si="3"/>
        <v>2.6045970744153069</v>
      </c>
    </row>
    <row r="55" spans="1:9">
      <c r="A55" s="63"/>
      <c r="B55" s="63" t="s">
        <v>94</v>
      </c>
      <c r="C55" s="64">
        <f t="shared" si="4"/>
        <v>2.6045970744153069</v>
      </c>
      <c r="D55" s="308">
        <f t="shared" si="7"/>
        <v>1.9534478058114802E-2</v>
      </c>
      <c r="E55" s="308">
        <f t="shared" si="6"/>
        <v>0.8617199677972267</v>
      </c>
      <c r="F55" s="308">
        <f t="shared" si="5"/>
        <v>0.88125444585534152</v>
      </c>
      <c r="G55" s="308">
        <f t="shared" si="3"/>
        <v>1.7428771066180802</v>
      </c>
    </row>
    <row r="56" spans="1:9">
      <c r="A56" s="63"/>
      <c r="B56" s="63" t="s">
        <v>95</v>
      </c>
      <c r="C56" s="64">
        <f t="shared" si="4"/>
        <v>1.7428771066180802</v>
      </c>
      <c r="D56" s="308">
        <f t="shared" si="7"/>
        <v>1.3071578299635601E-2</v>
      </c>
      <c r="E56" s="308">
        <f t="shared" si="6"/>
        <v>0.86818286755570595</v>
      </c>
      <c r="F56" s="308">
        <f t="shared" si="5"/>
        <v>0.88125444585534152</v>
      </c>
      <c r="G56" s="308">
        <f t="shared" si="3"/>
        <v>0.8746942390623742</v>
      </c>
    </row>
    <row r="57" spans="1:9">
      <c r="A57" s="63"/>
      <c r="B57" s="63" t="s">
        <v>96</v>
      </c>
      <c r="C57" s="64">
        <f t="shared" si="4"/>
        <v>0.8746942390623742</v>
      </c>
      <c r="D57" s="308">
        <f t="shared" si="7"/>
        <v>6.5602067929678059E-3</v>
      </c>
      <c r="E57" s="308">
        <f t="shared" si="6"/>
        <v>0.87469423906237376</v>
      </c>
      <c r="F57" s="308">
        <f t="shared" si="5"/>
        <v>0.88125444585534152</v>
      </c>
      <c r="G57" s="308">
        <f t="shared" si="3"/>
        <v>0</v>
      </c>
      <c r="H57" s="1"/>
      <c r="I57" s="1"/>
    </row>
    <row r="58" spans="1:9">
      <c r="A58" s="63" t="s">
        <v>14</v>
      </c>
      <c r="B58" s="63" t="s">
        <v>97</v>
      </c>
      <c r="C58" s="64">
        <v>1.9984014443252818E-15</v>
      </c>
      <c r="D58" s="64">
        <v>1.9984014443252818E-15</v>
      </c>
      <c r="E58" s="64">
        <v>1.9984014443252818E-15</v>
      </c>
      <c r="F58" s="64">
        <v>1.9984014443252818E-15</v>
      </c>
      <c r="G58" s="64">
        <v>1.9984014443252818E-15</v>
      </c>
    </row>
    <row r="59" spans="1:9">
      <c r="A59" s="63"/>
      <c r="B59" s="63" t="s">
        <v>98</v>
      </c>
      <c r="C59" s="64">
        <v>1.9984014443252818E-15</v>
      </c>
      <c r="D59" s="64">
        <v>1.9984014443252818E-15</v>
      </c>
      <c r="E59" s="64">
        <v>1.9984014443252818E-15</v>
      </c>
      <c r="F59" s="64">
        <v>1.9984014443252818E-15</v>
      </c>
      <c r="G59" s="64">
        <v>1.9984014443252818E-15</v>
      </c>
    </row>
    <row r="60" spans="1:9">
      <c r="A60" s="63"/>
      <c r="B60" s="63" t="s">
        <v>99</v>
      </c>
      <c r="C60" s="64">
        <v>1.9984014443252818E-15</v>
      </c>
      <c r="D60" s="64">
        <v>1.9984014443252818E-15</v>
      </c>
      <c r="E60" s="64">
        <v>1.9984014443252818E-15</v>
      </c>
      <c r="F60" s="64">
        <v>1.9984014443252818E-15</v>
      </c>
      <c r="G60" s="64">
        <v>1.9984014443252818E-15</v>
      </c>
    </row>
    <row r="61" spans="1:9">
      <c r="A61" s="63"/>
      <c r="B61" s="63" t="s">
        <v>100</v>
      </c>
      <c r="C61" s="64">
        <v>1.9984014443252818E-15</v>
      </c>
      <c r="D61" s="64">
        <v>1.9984014443252818E-15</v>
      </c>
      <c r="E61" s="64">
        <v>1.9984014443252818E-15</v>
      </c>
      <c r="F61" s="64">
        <v>1.9984014443252818E-15</v>
      </c>
      <c r="G61" s="64">
        <v>1.9984014443252818E-15</v>
      </c>
    </row>
    <row r="62" spans="1:9">
      <c r="A62" s="63"/>
      <c r="B62" s="63" t="s">
        <v>101</v>
      </c>
      <c r="C62" s="64">
        <v>1.9984014443252818E-15</v>
      </c>
      <c r="D62" s="64">
        <v>1.9984014443252818E-15</v>
      </c>
      <c r="E62" s="64">
        <v>1.9984014443252818E-15</v>
      </c>
      <c r="F62" s="64">
        <v>1.9984014443252818E-15</v>
      </c>
      <c r="G62" s="64">
        <v>1.9984014443252818E-15</v>
      </c>
    </row>
    <row r="63" spans="1:9">
      <c r="A63" s="63"/>
      <c r="B63" s="63" t="s">
        <v>102</v>
      </c>
      <c r="C63" s="64">
        <v>1.9984014443252818E-15</v>
      </c>
      <c r="D63" s="64">
        <v>1.9984014443252818E-15</v>
      </c>
      <c r="E63" s="64">
        <v>1.9984014443252818E-15</v>
      </c>
      <c r="F63" s="64">
        <v>1.9984014443252818E-15</v>
      </c>
      <c r="G63" s="64">
        <v>1.9984014443252818E-15</v>
      </c>
    </row>
    <row r="64" spans="1:9">
      <c r="A64" s="63"/>
      <c r="B64" s="63" t="s">
        <v>103</v>
      </c>
      <c r="C64" s="64">
        <v>1.9984014443252818E-15</v>
      </c>
      <c r="D64" s="64">
        <v>1.9984014443252818E-15</v>
      </c>
      <c r="E64" s="64">
        <v>1.9984014443252818E-15</v>
      </c>
      <c r="F64" s="64">
        <v>1.9984014443252818E-15</v>
      </c>
      <c r="G64" s="64">
        <v>1.9984014443252818E-15</v>
      </c>
    </row>
    <row r="65" spans="1:9">
      <c r="A65" s="63"/>
      <c r="B65" s="63" t="s">
        <v>104</v>
      </c>
      <c r="C65" s="64">
        <v>1.9984014443252818E-15</v>
      </c>
      <c r="D65" s="64">
        <v>1.9984014443252818E-15</v>
      </c>
      <c r="E65" s="64">
        <v>1.9984014443252818E-15</v>
      </c>
      <c r="F65" s="64">
        <v>1.9984014443252818E-15</v>
      </c>
      <c r="G65" s="64">
        <v>1.9984014443252818E-15</v>
      </c>
    </row>
    <row r="66" spans="1:9">
      <c r="A66" s="63"/>
      <c r="B66" s="63" t="s">
        <v>105</v>
      </c>
      <c r="C66" s="64">
        <v>1.9984014443252818E-15</v>
      </c>
      <c r="D66" s="64">
        <v>1.9984014443252818E-15</v>
      </c>
      <c r="E66" s="64">
        <v>1.9984014443252818E-15</v>
      </c>
      <c r="F66" s="64">
        <v>1.9984014443252818E-15</v>
      </c>
      <c r="G66" s="64">
        <v>1.9984014443252818E-15</v>
      </c>
    </row>
    <row r="67" spans="1:9">
      <c r="A67" s="63"/>
      <c r="B67" s="63" t="s">
        <v>106</v>
      </c>
      <c r="C67" s="64">
        <v>1.9984014443252818E-15</v>
      </c>
      <c r="D67" s="64">
        <v>1.9984014443252818E-15</v>
      </c>
      <c r="E67" s="64">
        <v>1.9984014443252818E-15</v>
      </c>
      <c r="F67" s="64">
        <v>1.9984014443252818E-15</v>
      </c>
      <c r="G67" s="64">
        <v>1.9984014443252818E-15</v>
      </c>
    </row>
    <row r="68" spans="1:9">
      <c r="A68" s="63"/>
      <c r="B68" s="63" t="s">
        <v>107</v>
      </c>
      <c r="C68" s="64">
        <v>1.9984014443252818E-15</v>
      </c>
      <c r="D68" s="64">
        <v>1.9984014443252818E-15</v>
      </c>
      <c r="E68" s="64">
        <v>1.9984014443252818E-15</v>
      </c>
      <c r="F68" s="64">
        <v>1.9984014443252818E-15</v>
      </c>
      <c r="G68" s="64">
        <v>1.9984014443252818E-15</v>
      </c>
    </row>
    <row r="69" spans="1:9">
      <c r="A69" s="63"/>
      <c r="B69" s="63" t="s">
        <v>108</v>
      </c>
      <c r="C69" s="64">
        <v>1.9984014443252818E-15</v>
      </c>
      <c r="D69" s="64">
        <v>1.9984014443252818E-15</v>
      </c>
      <c r="E69" s="64">
        <v>1.9984014443252818E-15</v>
      </c>
      <c r="F69" s="64">
        <v>1.9984014443252818E-15</v>
      </c>
      <c r="G69" s="64">
        <v>1.9984014443252818E-15</v>
      </c>
      <c r="H69" s="1"/>
      <c r="I69" s="1"/>
    </row>
    <row r="70" spans="1:9">
      <c r="A70" s="63" t="s">
        <v>15</v>
      </c>
      <c r="B70" s="63" t="s">
        <v>109</v>
      </c>
      <c r="C70" s="64">
        <v>1.9984014443252818E-15</v>
      </c>
      <c r="D70" s="64">
        <v>1.9984014443252818E-15</v>
      </c>
      <c r="E70" s="64">
        <v>1.9984014443252818E-15</v>
      </c>
      <c r="F70" s="64">
        <v>1.9984014443252818E-15</v>
      </c>
      <c r="G70" s="64">
        <v>1.9984014443252818E-15</v>
      </c>
    </row>
    <row r="71" spans="1:9">
      <c r="A71" s="63"/>
      <c r="B71" s="63" t="s">
        <v>110</v>
      </c>
      <c r="C71" s="64">
        <v>1.9984014443252818E-15</v>
      </c>
      <c r="D71" s="64">
        <v>1.9984014443252818E-15</v>
      </c>
      <c r="E71" s="64">
        <v>1.9984014443252818E-15</v>
      </c>
      <c r="F71" s="64">
        <v>1.9984014443252818E-15</v>
      </c>
      <c r="G71" s="64">
        <v>1.9984014443252818E-15</v>
      </c>
    </row>
    <row r="72" spans="1:9">
      <c r="A72" s="63"/>
      <c r="B72" s="63" t="s">
        <v>111</v>
      </c>
      <c r="C72" s="64">
        <v>1.9984014443252818E-15</v>
      </c>
      <c r="D72" s="64">
        <v>1.9984014443252818E-15</v>
      </c>
      <c r="E72" s="64">
        <v>1.9984014443252818E-15</v>
      </c>
      <c r="F72" s="64">
        <v>1.9984014443252818E-15</v>
      </c>
      <c r="G72" s="64">
        <v>1.9984014443252818E-15</v>
      </c>
    </row>
    <row r="73" spans="1:9">
      <c r="A73" s="63"/>
      <c r="B73" s="63" t="s">
        <v>112</v>
      </c>
      <c r="C73" s="64">
        <v>1.9984014443252818E-15</v>
      </c>
      <c r="D73" s="64">
        <v>1.9984014443252818E-15</v>
      </c>
      <c r="E73" s="64">
        <v>1.9984014443252818E-15</v>
      </c>
      <c r="F73" s="64">
        <v>1.9984014443252818E-15</v>
      </c>
      <c r="G73" s="64">
        <v>1.9984014443252818E-15</v>
      </c>
    </row>
    <row r="74" spans="1:9">
      <c r="A74" s="63"/>
      <c r="B74" s="63" t="s">
        <v>113</v>
      </c>
      <c r="C74" s="64">
        <v>1.9984014443252818E-15</v>
      </c>
      <c r="D74" s="64">
        <v>1.9984014443252818E-15</v>
      </c>
      <c r="E74" s="64">
        <v>1.9984014443252818E-15</v>
      </c>
      <c r="F74" s="64">
        <v>1.9984014443252818E-15</v>
      </c>
      <c r="G74" s="64">
        <v>1.9984014443252818E-15</v>
      </c>
    </row>
    <row r="75" spans="1:9">
      <c r="A75" s="63"/>
      <c r="B75" s="63" t="s">
        <v>114</v>
      </c>
      <c r="C75" s="64">
        <v>1.9984014443252818E-15</v>
      </c>
      <c r="D75" s="64">
        <v>1.9984014443252818E-15</v>
      </c>
      <c r="E75" s="64">
        <v>1.9984014443252818E-15</v>
      </c>
      <c r="F75" s="64">
        <v>1.9984014443252818E-15</v>
      </c>
      <c r="G75" s="64">
        <v>1.9984014443252818E-15</v>
      </c>
    </row>
    <row r="76" spans="1:9">
      <c r="A76" s="63"/>
      <c r="B76" s="63" t="s">
        <v>115</v>
      </c>
      <c r="C76" s="64">
        <v>1.9984014443252818E-15</v>
      </c>
      <c r="D76" s="64">
        <v>1.9984014443252818E-15</v>
      </c>
      <c r="E76" s="64">
        <v>1.9984014443252818E-15</v>
      </c>
      <c r="F76" s="64">
        <v>1.9984014443252818E-15</v>
      </c>
      <c r="G76" s="64">
        <v>1.9984014443252818E-15</v>
      </c>
    </row>
    <row r="77" spans="1:9">
      <c r="A77" s="63"/>
      <c r="B77" s="63" t="s">
        <v>116</v>
      </c>
      <c r="C77" s="64">
        <v>1.9984014443252818E-15</v>
      </c>
      <c r="D77" s="64">
        <v>1.9984014443252818E-15</v>
      </c>
      <c r="E77" s="64">
        <v>1.9984014443252818E-15</v>
      </c>
      <c r="F77" s="64">
        <v>1.9984014443252818E-15</v>
      </c>
      <c r="G77" s="64">
        <v>1.9984014443252818E-15</v>
      </c>
    </row>
    <row r="78" spans="1:9">
      <c r="A78" s="63"/>
      <c r="B78" s="63" t="s">
        <v>117</v>
      </c>
      <c r="C78" s="64">
        <v>1.9984014443252818E-15</v>
      </c>
      <c r="D78" s="64">
        <v>1.9984014443252818E-15</v>
      </c>
      <c r="E78" s="64">
        <v>1.9984014443252818E-15</v>
      </c>
      <c r="F78" s="64">
        <v>1.9984014443252818E-15</v>
      </c>
      <c r="G78" s="64">
        <v>1.9984014443252818E-15</v>
      </c>
    </row>
    <row r="79" spans="1:9">
      <c r="A79" s="63"/>
      <c r="B79" s="63" t="s">
        <v>118</v>
      </c>
      <c r="C79" s="64">
        <v>1.9984014443252818E-15</v>
      </c>
      <c r="D79" s="64">
        <v>1.9984014443252818E-15</v>
      </c>
      <c r="E79" s="64">
        <v>1.9984014443252818E-15</v>
      </c>
      <c r="F79" s="64">
        <v>1.9984014443252818E-15</v>
      </c>
      <c r="G79" s="64">
        <v>1.9984014443252818E-15</v>
      </c>
    </row>
    <row r="80" spans="1:9">
      <c r="A80" s="63"/>
      <c r="B80" s="63" t="s">
        <v>119</v>
      </c>
      <c r="C80" s="64">
        <v>1.9984014443252818E-15</v>
      </c>
      <c r="D80" s="64">
        <v>1.9984014443252818E-15</v>
      </c>
      <c r="E80" s="64">
        <v>1.9984014443252818E-15</v>
      </c>
      <c r="F80" s="64">
        <v>1.9984014443252818E-15</v>
      </c>
      <c r="G80" s="64">
        <v>1.9984014443252818E-15</v>
      </c>
    </row>
    <row r="81" spans="1:9">
      <c r="A81" s="63"/>
      <c r="B81" s="63" t="s">
        <v>120</v>
      </c>
      <c r="C81" s="64">
        <v>1.9984014443252818E-15</v>
      </c>
      <c r="D81" s="64">
        <v>1.9984014443252818E-15</v>
      </c>
      <c r="E81" s="64">
        <v>1.9984014443252818E-15</v>
      </c>
      <c r="F81" s="64">
        <v>1.9984014443252818E-15</v>
      </c>
      <c r="G81" s="64">
        <v>1.9984014443252818E-15</v>
      </c>
      <c r="H81" s="1"/>
      <c r="I81" s="1"/>
    </row>
    <row r="82" spans="1:9">
      <c r="A82" s="63" t="s">
        <v>271</v>
      </c>
      <c r="B82" s="63" t="s">
        <v>207</v>
      </c>
      <c r="C82" s="64">
        <v>1.9984014443252818E-15</v>
      </c>
      <c r="D82" s="64">
        <v>1.9984014443252818E-15</v>
      </c>
      <c r="E82" s="64">
        <v>1.9984014443252818E-15</v>
      </c>
      <c r="F82" s="64">
        <v>1.9984014443252818E-15</v>
      </c>
      <c r="G82" s="64">
        <v>1.9984014443252818E-15</v>
      </c>
    </row>
    <row r="83" spans="1:9">
      <c r="A83" s="63"/>
      <c r="B83" s="63" t="s">
        <v>208</v>
      </c>
      <c r="C83" s="64">
        <v>1.9984014443252818E-15</v>
      </c>
      <c r="D83" s="64">
        <v>1.9984014443252818E-15</v>
      </c>
      <c r="E83" s="64">
        <v>1.9984014443252818E-15</v>
      </c>
      <c r="F83" s="64">
        <v>1.9984014443252818E-15</v>
      </c>
      <c r="G83" s="64">
        <v>1.9984014443252818E-15</v>
      </c>
    </row>
    <row r="84" spans="1:9">
      <c r="A84" s="63"/>
      <c r="B84" s="63" t="s">
        <v>209</v>
      </c>
      <c r="C84" s="64">
        <v>1.9984014443252818E-15</v>
      </c>
      <c r="D84" s="64">
        <v>1.9984014443252818E-15</v>
      </c>
      <c r="E84" s="64">
        <v>1.9984014443252818E-15</v>
      </c>
      <c r="F84" s="64">
        <v>1.9984014443252818E-15</v>
      </c>
      <c r="G84" s="64">
        <v>1.9984014443252818E-15</v>
      </c>
    </row>
    <row r="85" spans="1:9">
      <c r="A85" s="63"/>
      <c r="B85" s="63" t="s">
        <v>210</v>
      </c>
      <c r="C85" s="64">
        <v>1.9984014443252818E-15</v>
      </c>
      <c r="D85" s="64">
        <v>1.9984014443252818E-15</v>
      </c>
      <c r="E85" s="64">
        <v>1.9984014443252818E-15</v>
      </c>
      <c r="F85" s="64">
        <v>1.9984014443252818E-15</v>
      </c>
      <c r="G85" s="64">
        <v>1.9984014443252818E-15</v>
      </c>
    </row>
    <row r="86" spans="1:9">
      <c r="A86" s="63"/>
      <c r="B86" s="63" t="s">
        <v>211</v>
      </c>
      <c r="C86" s="64">
        <v>1.9984014443252818E-15</v>
      </c>
      <c r="D86" s="64">
        <v>1.9984014443252818E-15</v>
      </c>
      <c r="E86" s="64">
        <v>1.9984014443252818E-15</v>
      </c>
      <c r="F86" s="64">
        <v>1.9984014443252818E-15</v>
      </c>
      <c r="G86" s="64">
        <v>1.9984014443252818E-15</v>
      </c>
    </row>
    <row r="87" spans="1:9">
      <c r="A87" s="63"/>
      <c r="B87" s="63" t="s">
        <v>212</v>
      </c>
      <c r="C87" s="64">
        <v>1.9984014443252818E-15</v>
      </c>
      <c r="D87" s="64">
        <v>1.9984014443252818E-15</v>
      </c>
      <c r="E87" s="64">
        <v>1.9984014443252818E-15</v>
      </c>
      <c r="F87" s="64">
        <v>1.9984014443252818E-15</v>
      </c>
      <c r="G87" s="64">
        <v>1.9984014443252818E-15</v>
      </c>
    </row>
    <row r="88" spans="1:9">
      <c r="A88" s="63"/>
      <c r="B88" s="63" t="s">
        <v>213</v>
      </c>
      <c r="C88" s="64">
        <v>1.9984014443252818E-15</v>
      </c>
      <c r="D88" s="64">
        <v>1.9984014443252818E-15</v>
      </c>
      <c r="E88" s="64">
        <v>1.9984014443252818E-15</v>
      </c>
      <c r="F88" s="64">
        <v>1.9984014443252818E-15</v>
      </c>
      <c r="G88" s="64">
        <v>1.9984014443252818E-15</v>
      </c>
    </row>
    <row r="89" spans="1:9">
      <c r="A89" s="63"/>
      <c r="B89" s="63" t="s">
        <v>214</v>
      </c>
      <c r="C89" s="64">
        <v>1.9984014443252818E-15</v>
      </c>
      <c r="D89" s="64">
        <v>1.9984014443252818E-15</v>
      </c>
      <c r="E89" s="64">
        <v>1.9984014443252818E-15</v>
      </c>
      <c r="F89" s="64">
        <v>1.9984014443252818E-15</v>
      </c>
      <c r="G89" s="64">
        <v>1.9984014443252818E-15</v>
      </c>
    </row>
    <row r="90" spans="1:9">
      <c r="A90" s="63"/>
      <c r="B90" s="63" t="s">
        <v>215</v>
      </c>
      <c r="C90" s="64">
        <v>1.9984014443252818E-15</v>
      </c>
      <c r="D90" s="64">
        <v>1.9984014443252818E-15</v>
      </c>
      <c r="E90" s="64">
        <v>1.9984014443252818E-15</v>
      </c>
      <c r="F90" s="64">
        <v>1.9984014443252818E-15</v>
      </c>
      <c r="G90" s="64">
        <v>1.9984014443252818E-15</v>
      </c>
    </row>
    <row r="91" spans="1:9">
      <c r="A91" s="63"/>
      <c r="B91" s="63" t="s">
        <v>216</v>
      </c>
      <c r="C91" s="64">
        <v>1.9984014443252818E-15</v>
      </c>
      <c r="D91" s="64">
        <v>1.9984014443252818E-15</v>
      </c>
      <c r="E91" s="64">
        <v>1.9984014443252818E-15</v>
      </c>
      <c r="F91" s="64">
        <v>1.9984014443252818E-15</v>
      </c>
      <c r="G91" s="64">
        <v>1.9984014443252818E-15</v>
      </c>
    </row>
    <row r="92" spans="1:9">
      <c r="A92" s="63"/>
      <c r="B92" s="63" t="s">
        <v>217</v>
      </c>
      <c r="C92" s="64">
        <v>1.9984014443252818E-15</v>
      </c>
      <c r="D92" s="64">
        <v>1.9984014443252818E-15</v>
      </c>
      <c r="E92" s="64">
        <v>1.9984014443252818E-15</v>
      </c>
      <c r="F92" s="64">
        <v>1.9984014443252818E-15</v>
      </c>
      <c r="G92" s="64">
        <v>1.9984014443252818E-15</v>
      </c>
    </row>
    <row r="93" spans="1:9">
      <c r="A93" s="63"/>
      <c r="B93" s="63" t="s">
        <v>218</v>
      </c>
      <c r="C93" s="64">
        <v>1.9984014443252818E-15</v>
      </c>
      <c r="D93" s="64">
        <v>1.9984014443252818E-15</v>
      </c>
      <c r="E93" s="64">
        <v>1.9984014443252818E-15</v>
      </c>
      <c r="F93" s="64">
        <v>1.9984014443252818E-15</v>
      </c>
      <c r="G93" s="64">
        <v>1.9984014443252818E-15</v>
      </c>
    </row>
    <row r="94" spans="1:9">
      <c r="A94" s="62"/>
      <c r="B94" s="62"/>
      <c r="C94" s="62"/>
      <c r="D94" s="69">
        <f>SUM(D10:D93)</f>
        <v>6.7877781764244141</v>
      </c>
      <c r="E94" s="69">
        <f>SUM(E10:E93)</f>
        <v>31.649118900000122</v>
      </c>
      <c r="F94" s="342"/>
      <c r="G94" s="62"/>
    </row>
    <row r="95" spans="1:9" ht="39.950000000000003" customHeight="1">
      <c r="A95" s="615" t="s">
        <v>402</v>
      </c>
      <c r="B95" s="615"/>
      <c r="C95" s="615"/>
      <c r="D95" s="615"/>
      <c r="E95" s="615"/>
      <c r="F95" s="615"/>
      <c r="G95" s="615"/>
      <c r="H95" s="615"/>
    </row>
    <row r="96" spans="1:9">
      <c r="A96" t="s">
        <v>500</v>
      </c>
    </row>
    <row r="97" spans="1:2">
      <c r="A97">
        <v>1</v>
      </c>
      <c r="B97" t="s">
        <v>501</v>
      </c>
    </row>
    <row r="98" spans="1:2">
      <c r="A98">
        <v>2</v>
      </c>
      <c r="B98" t="s">
        <v>502</v>
      </c>
    </row>
  </sheetData>
  <mergeCells count="2">
    <mergeCell ref="A2:G2"/>
    <mergeCell ref="A95:H95"/>
  </mergeCells>
  <pageMargins left="0.7" right="0.7" top="0.75" bottom="0.75" header="0.3" footer="0.3"/>
  <pageSetup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82"/>
  <sheetViews>
    <sheetView view="pageBreakPreview" zoomScale="55" zoomScaleSheetLayoutView="55" workbookViewId="0">
      <selection activeCell="K21" sqref="C4:K21"/>
    </sheetView>
  </sheetViews>
  <sheetFormatPr defaultRowHeight="15"/>
  <cols>
    <col min="1" max="1" width="3.7109375" customWidth="1"/>
    <col min="2" max="2" width="7.5703125" bestFit="1" customWidth="1"/>
    <col min="3" max="3" width="30.5703125" customWidth="1"/>
    <col min="4" max="4" width="10.85546875" customWidth="1"/>
    <col min="5" max="11" width="12.4257812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 min="32" max="32" width="12.140625" bestFit="1" customWidth="1"/>
  </cols>
  <sheetData>
    <row r="2" spans="3:22" ht="18.75">
      <c r="C2" s="602" t="s">
        <v>812</v>
      </c>
      <c r="D2" s="602"/>
      <c r="E2" s="602"/>
      <c r="F2" s="602"/>
      <c r="G2" s="602"/>
      <c r="H2" s="602"/>
      <c r="I2" s="602"/>
      <c r="J2" s="602"/>
      <c r="K2" s="602"/>
      <c r="L2" s="144"/>
    </row>
    <row r="4" spans="3:22">
      <c r="C4" s="55" t="s">
        <v>0</v>
      </c>
      <c r="D4" s="55" t="s">
        <v>811</v>
      </c>
      <c r="E4" s="56" t="s">
        <v>2</v>
      </c>
      <c r="F4" s="56" t="s">
        <v>3</v>
      </c>
      <c r="G4" s="56" t="s">
        <v>4</v>
      </c>
      <c r="H4" s="56" t="s">
        <v>5</v>
      </c>
      <c r="I4" s="56" t="s">
        <v>6</v>
      </c>
      <c r="J4" s="56" t="s">
        <v>164</v>
      </c>
      <c r="K4" s="56" t="s">
        <v>163</v>
      </c>
      <c r="L4" s="62"/>
      <c r="M4" s="62"/>
      <c r="N4" s="181"/>
      <c r="O4" s="181"/>
      <c r="P4" s="181"/>
      <c r="Q4" s="181"/>
      <c r="R4" s="181"/>
      <c r="S4" s="181"/>
      <c r="T4" s="181"/>
      <c r="U4" s="181"/>
      <c r="V4" s="181"/>
    </row>
    <row r="5" spans="3:22">
      <c r="C5" s="63" t="s">
        <v>355</v>
      </c>
      <c r="D5" s="63"/>
      <c r="E5" s="63"/>
      <c r="F5" s="63"/>
      <c r="G5" s="63"/>
      <c r="H5" s="63"/>
      <c r="I5" s="63"/>
      <c r="J5" s="63"/>
      <c r="K5" s="63"/>
      <c r="L5" s="62"/>
      <c r="M5" s="62"/>
      <c r="N5" s="616" t="s">
        <v>496</v>
      </c>
      <c r="O5" s="616"/>
      <c r="P5" s="616"/>
      <c r="Q5" s="616"/>
      <c r="R5" s="616"/>
      <c r="S5" s="181"/>
      <c r="T5" s="181"/>
      <c r="U5" s="616" t="s">
        <v>497</v>
      </c>
      <c r="V5" s="616"/>
    </row>
    <row r="6" spans="3:22">
      <c r="C6" s="63" t="s">
        <v>356</v>
      </c>
      <c r="D6" s="129"/>
      <c r="E6" s="63"/>
      <c r="F6" s="64">
        <v>0</v>
      </c>
      <c r="G6" s="64">
        <v>0</v>
      </c>
      <c r="H6" s="64">
        <v>0</v>
      </c>
      <c r="I6" s="64">
        <v>0</v>
      </c>
      <c r="J6" s="64">
        <v>0</v>
      </c>
      <c r="K6" s="64">
        <v>0</v>
      </c>
      <c r="L6" s="62"/>
      <c r="M6" s="62"/>
      <c r="N6" s="623" t="s">
        <v>498</v>
      </c>
      <c r="O6" s="623"/>
      <c r="P6" s="623"/>
      <c r="Q6" s="623"/>
      <c r="R6" s="623"/>
      <c r="S6" s="181"/>
      <c r="T6" s="181"/>
      <c r="U6" s="623" t="s">
        <v>498</v>
      </c>
      <c r="V6" s="623"/>
    </row>
    <row r="7" spans="3:22">
      <c r="C7" s="63" t="s">
        <v>440</v>
      </c>
      <c r="D7" s="129"/>
      <c r="E7" s="63"/>
      <c r="F7" s="308">
        <v>0</v>
      </c>
      <c r="G7" s="308">
        <v>0</v>
      </c>
      <c r="H7" s="308">
        <v>0</v>
      </c>
      <c r="I7" s="308">
        <v>0</v>
      </c>
      <c r="J7" s="308">
        <v>0</v>
      </c>
      <c r="K7" s="308">
        <v>0</v>
      </c>
      <c r="L7" s="62"/>
      <c r="M7" s="62"/>
      <c r="N7" s="182" t="s">
        <v>0</v>
      </c>
      <c r="O7" s="182" t="s">
        <v>158</v>
      </c>
      <c r="P7" s="182" t="s">
        <v>159</v>
      </c>
      <c r="Q7" s="182" t="s">
        <v>306</v>
      </c>
      <c r="R7" s="182" t="s">
        <v>307</v>
      </c>
      <c r="S7" s="181"/>
      <c r="T7" s="181"/>
      <c r="U7" s="246" t="s">
        <v>0</v>
      </c>
      <c r="V7" s="246" t="s">
        <v>473</v>
      </c>
    </row>
    <row r="8" spans="3:22">
      <c r="C8" s="63" t="s">
        <v>883</v>
      </c>
      <c r="D8" s="129"/>
      <c r="E8" s="63"/>
      <c r="F8" s="308">
        <f t="shared" ref="F8:K9" si="0">E17</f>
        <v>0</v>
      </c>
      <c r="G8" s="308">
        <f t="shared" si="0"/>
        <v>0</v>
      </c>
      <c r="H8" s="308">
        <f t="shared" si="0"/>
        <v>0</v>
      </c>
      <c r="I8" s="308">
        <f t="shared" si="0"/>
        <v>0</v>
      </c>
      <c r="J8" s="308">
        <f t="shared" si="0"/>
        <v>0</v>
      </c>
      <c r="K8" s="308">
        <f t="shared" si="0"/>
        <v>0</v>
      </c>
      <c r="L8" s="62"/>
      <c r="M8" s="62"/>
      <c r="N8" s="183" t="s">
        <v>357</v>
      </c>
      <c r="O8" s="183">
        <f>'17.Facility 6 Horti Processing '!C152</f>
        <v>0</v>
      </c>
      <c r="P8" s="183">
        <f>'17.Facility 6 Horti Processing '!C153</f>
        <v>0</v>
      </c>
      <c r="Q8" s="183">
        <f>'17.Facility 6 Horti Processing '!C154</f>
        <v>150</v>
      </c>
      <c r="R8" s="183">
        <f>'17.Facility 6 Horti Processing '!C155</f>
        <v>40</v>
      </c>
      <c r="S8" s="181"/>
      <c r="T8" s="181"/>
      <c r="U8" s="183" t="s">
        <v>332</v>
      </c>
      <c r="V8" s="183" t="str">
        <f>'13.Facility 2 Grain Processing-'!C95</f>
        <v>As per Purchase Schedule</v>
      </c>
    </row>
    <row r="9" spans="3:22">
      <c r="C9" s="63" t="str">
        <f>C18</f>
        <v xml:space="preserve">Grain Processing </v>
      </c>
      <c r="D9" s="63"/>
      <c r="E9" s="63"/>
      <c r="F9" s="308">
        <f>E18</f>
        <v>18.9955</v>
      </c>
      <c r="G9" s="308">
        <f t="shared" si="0"/>
        <v>36.060149999999993</v>
      </c>
      <c r="H9" s="308">
        <f t="shared" si="0"/>
        <v>54.790812499999994</v>
      </c>
      <c r="I9" s="308">
        <f t="shared" si="0"/>
        <v>75.302866666666674</v>
      </c>
      <c r="J9" s="308">
        <f t="shared" si="0"/>
        <v>97.726720833333331</v>
      </c>
      <c r="K9" s="308">
        <f t="shared" si="0"/>
        <v>123.60272083333334</v>
      </c>
      <c r="L9" s="62"/>
      <c r="M9" s="62"/>
      <c r="N9" s="183" t="str">
        <f>'17.Facility 6 Horti Processing '!A156</f>
        <v>Pomegranate Powder</v>
      </c>
      <c r="O9" s="183" t="e">
        <f>('17.Facility 6 Horti Processing '!B156*'17.Facility 6 Horti Processing '!C156/1000)*100</f>
        <v>#VALUE!</v>
      </c>
      <c r="P9" s="183" t="e">
        <f>O9</f>
        <v>#VALUE!</v>
      </c>
      <c r="Q9" s="183" t="e">
        <f t="shared" ref="Q9:R9" si="1">P9</f>
        <v>#VALUE!</v>
      </c>
      <c r="R9" s="183" t="e">
        <f t="shared" si="1"/>
        <v>#VALUE!</v>
      </c>
      <c r="S9" s="181"/>
      <c r="T9" s="181"/>
      <c r="U9" s="183" t="e">
        <f>'13.Facility 2 Grain Processing-'!#REF!</f>
        <v>#REF!</v>
      </c>
      <c r="V9" s="184" t="e">
        <f>'13.Facility 2 Grain Processing-'!#REF!</f>
        <v>#REF!</v>
      </c>
    </row>
    <row r="10" spans="3:22">
      <c r="C10" s="63"/>
      <c r="D10" s="63"/>
      <c r="E10" s="63"/>
      <c r="F10" s="308"/>
      <c r="G10" s="308"/>
      <c r="H10" s="308"/>
      <c r="I10" s="308"/>
      <c r="J10" s="308"/>
      <c r="K10" s="308"/>
      <c r="L10" s="62"/>
      <c r="M10" s="62"/>
      <c r="N10" s="183">
        <f>'17.Facility 6 Horti Processing '!A157</f>
        <v>0</v>
      </c>
      <c r="O10" s="185">
        <f>('17.Facility 6 Horti Processing '!B157*'17.Facility 6 Horti Processing '!C157)/('17.Facility 6 Horti Processing '!B5*'17.Facility 6 Horti Processing '!B6)</f>
        <v>0</v>
      </c>
      <c r="P10" s="185">
        <f>O10</f>
        <v>0</v>
      </c>
      <c r="Q10" s="185">
        <f t="shared" ref="Q10:R10" si="2">P10</f>
        <v>0</v>
      </c>
      <c r="R10" s="185">
        <f t="shared" si="2"/>
        <v>0</v>
      </c>
      <c r="S10" s="181"/>
      <c r="T10" s="181"/>
      <c r="U10" s="183" t="str">
        <f>'13.Facility 2 Grain Processing-'!A96</f>
        <v xml:space="preserve">Daily Labour </v>
      </c>
      <c r="V10" s="184" t="e">
        <f>'13.Facility 2 Grain Processing-'!B96*'13.Facility 2 Grain Processing-'!C96/('13.Facility 2 Grain Processing-'!B7*'13.Facility 2 Grain Processing-'!B8)</f>
        <v>#VALUE!</v>
      </c>
    </row>
    <row r="11" spans="3:22">
      <c r="C11" s="63"/>
      <c r="D11" s="63"/>
      <c r="E11" s="63"/>
      <c r="F11" s="308"/>
      <c r="G11" s="308"/>
      <c r="H11" s="308"/>
      <c r="I11" s="308"/>
      <c r="J11" s="308"/>
      <c r="K11" s="308"/>
      <c r="L11" s="62"/>
      <c r="M11" s="62"/>
      <c r="N11" s="183">
        <f>'17.Facility 6 Horti Processing '!A158</f>
        <v>0</v>
      </c>
      <c r="O11" s="185">
        <f>('17.Facility 6 Horti Processing '!B158*'17.Facility 6 Horti Processing '!C158)/('17.Facility 6 Horti Processing '!B5*'17.Facility 6 Horti Processing '!B6)</f>
        <v>0</v>
      </c>
      <c r="P11" s="185">
        <f>O11</f>
        <v>0</v>
      </c>
      <c r="Q11" s="185">
        <f t="shared" ref="Q11" si="3">P11</f>
        <v>0</v>
      </c>
      <c r="R11" s="185">
        <f t="shared" ref="R11" si="4">Q11</f>
        <v>0</v>
      </c>
      <c r="S11" s="181"/>
      <c r="T11" s="181"/>
      <c r="U11" s="183" t="str">
        <f>'13.Facility 2 Grain Processing-'!A97</f>
        <v>Electricity Charges</v>
      </c>
      <c r="V11" s="183" t="e">
        <f>'13.Facility 2 Grain Processing-'!B97*'13.Facility 2 Grain Processing-'!C97/('13.Facility 2 Grain Processing-'!B7*'13.Facility 2 Grain Processing-'!B8)</f>
        <v>#VALUE!</v>
      </c>
    </row>
    <row r="12" spans="3:22">
      <c r="C12" s="63" t="s">
        <v>1</v>
      </c>
      <c r="D12" s="63"/>
      <c r="E12" s="64"/>
      <c r="F12" s="308">
        <f t="shared" ref="F12:K12" si="5">SUM(F6:F11)</f>
        <v>18.9955</v>
      </c>
      <c r="G12" s="308">
        <f t="shared" si="5"/>
        <v>36.060149999999993</v>
      </c>
      <c r="H12" s="308">
        <f t="shared" si="5"/>
        <v>54.790812499999994</v>
      </c>
      <c r="I12" s="308">
        <f t="shared" si="5"/>
        <v>75.302866666666674</v>
      </c>
      <c r="J12" s="308">
        <f t="shared" si="5"/>
        <v>97.726720833333331</v>
      </c>
      <c r="K12" s="308">
        <f t="shared" si="5"/>
        <v>123.60272083333334</v>
      </c>
      <c r="L12" s="62"/>
      <c r="M12" s="62"/>
      <c r="N12" s="183" t="str">
        <f>'17.Facility 6 Horti Processing '!A159</f>
        <v>Revenue</v>
      </c>
      <c r="O12" s="183">
        <f>'17.Facility 6 Horti Processing '!C159*2</f>
        <v>0</v>
      </c>
      <c r="P12" s="183">
        <f>O12</f>
        <v>0</v>
      </c>
      <c r="Q12" s="183">
        <f t="shared" ref="Q12:R13" si="6">P12</f>
        <v>0</v>
      </c>
      <c r="R12" s="183">
        <f t="shared" si="6"/>
        <v>0</v>
      </c>
      <c r="S12" s="181"/>
      <c r="T12" s="181"/>
      <c r="U12" s="183" t="str">
        <f>'13.Facility 2 Grain Processing-'!A101</f>
        <v>Repairs &amp; Maintainence</v>
      </c>
      <c r="V12" s="183">
        <f>'13.Facility 2 Grain Processing-'!C101</f>
        <v>300</v>
      </c>
    </row>
    <row r="13" spans="3:22">
      <c r="C13" s="63"/>
      <c r="D13" s="63"/>
      <c r="E13" s="63"/>
      <c r="F13" s="308"/>
      <c r="G13" s="308"/>
      <c r="H13" s="308"/>
      <c r="I13" s="308"/>
      <c r="J13" s="308"/>
      <c r="K13" s="308"/>
      <c r="L13" s="62"/>
      <c r="M13" s="62"/>
      <c r="N13" s="183">
        <f>'17.Facility 6 Horti Processing '!A160</f>
        <v>0</v>
      </c>
      <c r="O13" s="183">
        <f>'17.Facility 6 Horti Processing '!C160*2</f>
        <v>0</v>
      </c>
      <c r="P13" s="183">
        <f>O13</f>
        <v>0</v>
      </c>
      <c r="Q13" s="183">
        <f t="shared" si="6"/>
        <v>0</v>
      </c>
      <c r="R13" s="183">
        <f t="shared" si="6"/>
        <v>0</v>
      </c>
      <c r="S13" s="181"/>
      <c r="T13" s="181"/>
      <c r="U13" s="183" t="str">
        <f>'13.Facility 2 Grain Processing-'!A102</f>
        <v>Selling &amp; Dist Exp</v>
      </c>
      <c r="V13" s="9">
        <f>'13.Facility 2 Grain Processing-'!C102*100</f>
        <v>15900</v>
      </c>
    </row>
    <row r="14" spans="3:22">
      <c r="C14" s="65" t="s">
        <v>334</v>
      </c>
      <c r="D14" s="63"/>
      <c r="E14" s="63"/>
      <c r="F14" s="308"/>
      <c r="G14" s="308"/>
      <c r="H14" s="308"/>
      <c r="I14" s="308"/>
      <c r="J14" s="308"/>
      <c r="K14" s="308"/>
      <c r="L14" s="62"/>
      <c r="M14" s="62"/>
      <c r="N14" s="183"/>
      <c r="O14" s="9"/>
      <c r="P14" s="9"/>
      <c r="Q14" s="9"/>
      <c r="R14" s="9"/>
      <c r="S14" s="181"/>
      <c r="T14" s="181"/>
      <c r="U14" s="9"/>
      <c r="V14" s="9"/>
    </row>
    <row r="15" spans="3:22">
      <c r="C15" s="63" t="str">
        <f>C6</f>
        <v>Agri Input</v>
      </c>
      <c r="D15" s="404">
        <v>15</v>
      </c>
      <c r="E15" s="64">
        <v>0</v>
      </c>
      <c r="F15" s="308">
        <v>0</v>
      </c>
      <c r="G15" s="308">
        <v>0</v>
      </c>
      <c r="H15" s="308">
        <v>0</v>
      </c>
      <c r="I15" s="308">
        <v>0</v>
      </c>
      <c r="J15" s="308">
        <v>0</v>
      </c>
      <c r="K15" s="308">
        <v>0</v>
      </c>
      <c r="L15" s="62"/>
      <c r="M15" s="62"/>
      <c r="N15" s="9"/>
      <c r="O15" s="9"/>
      <c r="P15" s="9"/>
      <c r="Q15" s="9"/>
      <c r="R15" s="9"/>
      <c r="U15" s="9"/>
      <c r="V15" s="9"/>
    </row>
    <row r="16" spans="3:22">
      <c r="C16" s="63" t="str">
        <f>C7</f>
        <v>Trading</v>
      </c>
      <c r="D16" s="404">
        <v>15</v>
      </c>
      <c r="E16" s="64">
        <v>0</v>
      </c>
      <c r="F16" s="308">
        <v>0</v>
      </c>
      <c r="G16" s="308">
        <v>0</v>
      </c>
      <c r="H16" s="308">
        <v>0</v>
      </c>
      <c r="I16" s="308">
        <v>0</v>
      </c>
      <c r="J16" s="308">
        <v>0</v>
      </c>
      <c r="K16" s="308">
        <v>0</v>
      </c>
      <c r="L16" s="62"/>
      <c r="M16" s="62"/>
      <c r="N16" s="182" t="s">
        <v>358</v>
      </c>
      <c r="O16" s="186" t="e">
        <f>SUM(O8:O13)</f>
        <v>#VALUE!</v>
      </c>
      <c r="P16" s="186" t="e">
        <f>SUM(P8:P13)</f>
        <v>#VALUE!</v>
      </c>
      <c r="Q16" s="186" t="e">
        <f>SUM(Q8:Q13)</f>
        <v>#VALUE!</v>
      </c>
      <c r="R16" s="186" t="e">
        <f>SUM(R8:R13)</f>
        <v>#VALUE!</v>
      </c>
      <c r="U16" s="182" t="s">
        <v>1</v>
      </c>
      <c r="V16" s="186" t="e">
        <f>SUM(V8:V15)</f>
        <v>#REF!</v>
      </c>
    </row>
    <row r="17" spans="1:18">
      <c r="C17" s="63" t="str">
        <f>C8</f>
        <v xml:space="preserve">Horticulture  Processing </v>
      </c>
      <c r="D17" s="404">
        <v>15</v>
      </c>
      <c r="E17" s="64">
        <f>SUM('17.Facility 6 Horti Processing '!D152:D160)*$D$17</f>
        <v>0</v>
      </c>
      <c r="F17" s="308">
        <f>SUM('17.Facility 6 Horti Processing '!E152:E160)*$D$17</f>
        <v>0</v>
      </c>
      <c r="G17" s="308">
        <f>SUM('17.Facility 6 Horti Processing '!F152:F160)*$D$17</f>
        <v>0</v>
      </c>
      <c r="H17" s="308">
        <f>SUM('17.Facility 6 Horti Processing '!G152:G160)*$D$17</f>
        <v>0</v>
      </c>
      <c r="I17" s="308">
        <f>SUM('17.Facility 6 Horti Processing '!H152:H160)*$D$17</f>
        <v>0</v>
      </c>
      <c r="J17" s="308">
        <f>SUM('17.Facility 6 Horti Processing '!I152:I160)*$D$17</f>
        <v>0</v>
      </c>
      <c r="K17" s="308">
        <f>SUM('17.Facility 6 Horti Processing '!J152:J160)*$D$17</f>
        <v>0</v>
      </c>
      <c r="L17" s="62"/>
      <c r="M17" s="62"/>
    </row>
    <row r="18" spans="1:18">
      <c r="C18" s="63" t="s">
        <v>512</v>
      </c>
      <c r="D18" s="404" t="s">
        <v>965</v>
      </c>
      <c r="E18" s="308">
        <f>+'13.Facility 2 Grain Processing-'!C227+'13.Facility 2 Grain Processing-'!B352</f>
        <v>18.9955</v>
      </c>
      <c r="F18" s="308">
        <f>+'13.Facility 2 Grain Processing-'!D227+'13.Facility 2 Grain Processing-'!C352</f>
        <v>36.060149999999993</v>
      </c>
      <c r="G18" s="308">
        <f>+'13.Facility 2 Grain Processing-'!E227+'13.Facility 2 Grain Processing-'!D352</f>
        <v>54.790812499999994</v>
      </c>
      <c r="H18" s="308">
        <f>+'13.Facility 2 Grain Processing-'!F227+'13.Facility 2 Grain Processing-'!E352</f>
        <v>75.302866666666674</v>
      </c>
      <c r="I18" s="308">
        <f>+'13.Facility 2 Grain Processing-'!G227+'13.Facility 2 Grain Processing-'!F352</f>
        <v>97.726720833333331</v>
      </c>
      <c r="J18" s="308">
        <f>+'13.Facility 2 Grain Processing-'!H227+'13.Facility 2 Grain Processing-'!G352</f>
        <v>123.60272083333334</v>
      </c>
      <c r="K18" s="308">
        <f>+'13.Facility 2 Grain Processing-'!I227+'13.Facility 2 Grain Processing-'!H352</f>
        <v>153.29655833333334</v>
      </c>
      <c r="L18" s="62"/>
      <c r="M18" s="62"/>
    </row>
    <row r="19" spans="1:18">
      <c r="C19" s="63"/>
      <c r="D19" s="179"/>
      <c r="E19" s="64"/>
      <c r="F19" s="308"/>
      <c r="G19" s="308"/>
      <c r="H19" s="308"/>
      <c r="I19" s="308"/>
      <c r="J19" s="308"/>
      <c r="K19" s="308"/>
      <c r="L19" s="62"/>
      <c r="M19" s="62"/>
    </row>
    <row r="20" spans="1:18">
      <c r="C20" s="63"/>
      <c r="D20" s="63"/>
      <c r="E20" s="63"/>
      <c r="F20" s="308"/>
      <c r="G20" s="308"/>
      <c r="H20" s="308"/>
      <c r="I20" s="308"/>
      <c r="J20" s="308"/>
      <c r="K20" s="308"/>
      <c r="L20" s="62"/>
      <c r="M20" s="62"/>
    </row>
    <row r="21" spans="1:18">
      <c r="C21" s="63" t="s">
        <v>1</v>
      </c>
      <c r="D21" s="63"/>
      <c r="E21" s="309">
        <f t="shared" ref="E21:K21" si="7">SUM(E15:E20)</f>
        <v>18.9955</v>
      </c>
      <c r="F21" s="308">
        <f t="shared" si="7"/>
        <v>36.060149999999993</v>
      </c>
      <c r="G21" s="308">
        <f t="shared" si="7"/>
        <v>54.790812499999994</v>
      </c>
      <c r="H21" s="308">
        <f t="shared" si="7"/>
        <v>75.302866666666674</v>
      </c>
      <c r="I21" s="308">
        <f t="shared" si="7"/>
        <v>97.726720833333331</v>
      </c>
      <c r="J21" s="308">
        <f t="shared" si="7"/>
        <v>123.60272083333334</v>
      </c>
      <c r="K21" s="308">
        <f t="shared" si="7"/>
        <v>153.29655833333334</v>
      </c>
      <c r="L21" s="62"/>
      <c r="M21" s="62"/>
    </row>
    <row r="22" spans="1:18">
      <c r="C22" s="62"/>
      <c r="D22" s="62"/>
      <c r="E22" s="62"/>
      <c r="F22" s="62"/>
      <c r="G22" s="62"/>
      <c r="H22" s="62"/>
      <c r="I22" s="62"/>
      <c r="J22" s="62"/>
      <c r="K22" s="62"/>
      <c r="L22" s="62"/>
      <c r="M22" s="62"/>
    </row>
    <row r="23" spans="1:18" ht="41.1" customHeight="1">
      <c r="B23" s="507"/>
      <c r="C23" s="611" t="s">
        <v>403</v>
      </c>
      <c r="D23" s="611"/>
      <c r="E23" s="611"/>
      <c r="F23" s="611"/>
      <c r="G23" s="611"/>
      <c r="H23" s="611"/>
      <c r="I23" s="611"/>
      <c r="J23" s="611"/>
      <c r="K23" s="611"/>
      <c r="L23" s="245"/>
      <c r="M23" s="245"/>
      <c r="N23" s="245"/>
      <c r="O23" s="213"/>
      <c r="P23" s="213"/>
      <c r="Q23" s="213"/>
      <c r="R23" s="213"/>
    </row>
    <row r="24" spans="1:18">
      <c r="A24" t="s">
        <v>500</v>
      </c>
    </row>
    <row r="25" spans="1:18">
      <c r="A25">
        <v>1</v>
      </c>
      <c r="B25" t="s">
        <v>503</v>
      </c>
    </row>
    <row r="28" spans="1:18" ht="18.75">
      <c r="B28" s="602" t="s">
        <v>522</v>
      </c>
      <c r="C28" s="602"/>
      <c r="D28" s="602"/>
      <c r="E28" s="602"/>
      <c r="F28" s="602"/>
      <c r="G28" s="602"/>
      <c r="H28" s="602"/>
      <c r="I28" s="602"/>
      <c r="J28" s="602"/>
      <c r="K28" s="602"/>
    </row>
    <row r="30" spans="1:18">
      <c r="B30" s="617" t="s">
        <v>140</v>
      </c>
      <c r="C30" s="617" t="s">
        <v>0</v>
      </c>
      <c r="D30" s="618" t="s">
        <v>354</v>
      </c>
      <c r="E30" s="620" t="s">
        <v>154</v>
      </c>
      <c r="F30" s="621"/>
      <c r="G30" s="621"/>
      <c r="H30" s="621"/>
      <c r="I30" s="621"/>
      <c r="J30" s="621"/>
      <c r="K30" s="621"/>
    </row>
    <row r="31" spans="1:18" ht="31.5" customHeight="1">
      <c r="B31" s="617"/>
      <c r="C31" s="617"/>
      <c r="D31" s="619"/>
      <c r="E31" s="149" t="s">
        <v>2</v>
      </c>
      <c r="F31" s="149" t="s">
        <v>3</v>
      </c>
      <c r="G31" s="149" t="s">
        <v>4</v>
      </c>
      <c r="H31" s="149" t="s">
        <v>5</v>
      </c>
      <c r="I31" s="149" t="s">
        <v>6</v>
      </c>
      <c r="J31" s="149" t="s">
        <v>164</v>
      </c>
      <c r="K31" s="149" t="s">
        <v>163</v>
      </c>
    </row>
    <row r="32" spans="1:18">
      <c r="B32" s="152"/>
      <c r="C32" s="153"/>
      <c r="D32" s="153"/>
      <c r="E32" s="154"/>
      <c r="F32" s="154"/>
      <c r="G32" s="154"/>
      <c r="H32" s="154"/>
      <c r="I32" s="154"/>
      <c r="J32" s="154"/>
      <c r="K32" s="154"/>
    </row>
    <row r="33" spans="2:32" ht="28.5">
      <c r="B33" s="155" t="s">
        <v>168</v>
      </c>
      <c r="C33" s="156" t="s">
        <v>335</v>
      </c>
      <c r="D33" s="167"/>
      <c r="E33" s="157"/>
      <c r="F33" s="157"/>
      <c r="G33" s="157"/>
      <c r="H33" s="157"/>
      <c r="I33" s="157"/>
      <c r="J33" s="157"/>
      <c r="K33" s="157"/>
    </row>
    <row r="34" spans="2:32">
      <c r="B34" s="203">
        <v>1</v>
      </c>
      <c r="C34" s="158" t="s">
        <v>356</v>
      </c>
      <c r="D34" s="167">
        <v>14</v>
      </c>
      <c r="E34" s="405">
        <v>0</v>
      </c>
      <c r="F34" s="405">
        <v>0</v>
      </c>
      <c r="G34" s="405">
        <v>0</v>
      </c>
      <c r="H34" s="405">
        <v>0</v>
      </c>
      <c r="I34" s="405">
        <v>0</v>
      </c>
      <c r="J34" s="405">
        <v>0</v>
      </c>
      <c r="K34" s="405">
        <v>0</v>
      </c>
    </row>
    <row r="35" spans="2:32">
      <c r="B35" s="203">
        <v>2</v>
      </c>
      <c r="C35" s="158" t="s">
        <v>351</v>
      </c>
      <c r="D35" s="167">
        <v>14</v>
      </c>
      <c r="E35" s="405">
        <f>('15. Facility 4 Custom Hiring'!E39/365)*$D$35</f>
        <v>0</v>
      </c>
      <c r="F35" s="405">
        <f>('15. Facility 4 Custom Hiring'!F39/365)*$D$35</f>
        <v>0</v>
      </c>
      <c r="G35" s="405">
        <f>('15. Facility 4 Custom Hiring'!G39/365)*$D$35</f>
        <v>0</v>
      </c>
      <c r="H35" s="405">
        <f>('15. Facility 4 Custom Hiring'!H39/365)*$D$35</f>
        <v>0</v>
      </c>
      <c r="I35" s="405">
        <f>('15. Facility 4 Custom Hiring'!I39/365)*$D$35</f>
        <v>0</v>
      </c>
      <c r="J35" s="405">
        <f>('15. Facility 4 Custom Hiring'!J39/365)*$D$35</f>
        <v>0</v>
      </c>
      <c r="K35" s="405">
        <f>('15. Facility 4 Custom Hiring'!K39/365)*$D$35</f>
        <v>0</v>
      </c>
    </row>
    <row r="36" spans="2:32">
      <c r="B36" s="203">
        <v>3</v>
      </c>
      <c r="C36" s="158" t="s">
        <v>352</v>
      </c>
      <c r="D36" s="167">
        <v>14</v>
      </c>
      <c r="E36" s="405">
        <v>0</v>
      </c>
      <c r="F36" s="405">
        <v>0</v>
      </c>
      <c r="G36" s="405">
        <v>0</v>
      </c>
      <c r="H36" s="405">
        <v>0</v>
      </c>
      <c r="I36" s="405">
        <v>0</v>
      </c>
      <c r="J36" s="405">
        <v>0</v>
      </c>
      <c r="K36" s="405">
        <v>0</v>
      </c>
    </row>
    <row r="37" spans="2:32">
      <c r="B37" s="203">
        <v>4</v>
      </c>
      <c r="C37" s="158" t="s">
        <v>136</v>
      </c>
      <c r="D37" s="167">
        <v>14</v>
      </c>
      <c r="E37" s="405">
        <f>('17.Facility 6 Horti Processing '!D148/365)*$D$37</f>
        <v>0</v>
      </c>
      <c r="F37" s="405">
        <f>('17.Facility 6 Horti Processing '!E148/365)*$D$37</f>
        <v>0</v>
      </c>
      <c r="G37" s="405">
        <f>('17.Facility 6 Horti Processing '!F148/365)*$D$37</f>
        <v>0</v>
      </c>
      <c r="H37" s="405">
        <f>('17.Facility 6 Horti Processing '!G148/365)*$D$37</f>
        <v>0</v>
      </c>
      <c r="I37" s="405">
        <f>('17.Facility 6 Horti Processing '!H148/365)*$D$37</f>
        <v>0</v>
      </c>
      <c r="J37" s="405">
        <f>('17.Facility 6 Horti Processing '!I148/365)*$D$37</f>
        <v>0</v>
      </c>
      <c r="K37" s="405">
        <f>('17.Facility 6 Horti Processing '!J148/365)*$D$37</f>
        <v>0</v>
      </c>
    </row>
    <row r="38" spans="2:32">
      <c r="B38" s="203">
        <v>5</v>
      </c>
      <c r="C38" s="158" t="s">
        <v>290</v>
      </c>
      <c r="D38" s="167">
        <v>30</v>
      </c>
      <c r="E38" s="405">
        <f>('14. Facility 3 Warehouse'!D23/365)*$D$38</f>
        <v>0</v>
      </c>
      <c r="F38" s="405">
        <f>('14. Facility 3 Warehouse'!E23/365)*$D$38</f>
        <v>0</v>
      </c>
      <c r="G38" s="405">
        <f>('14. Facility 3 Warehouse'!F23/365)*$D$38</f>
        <v>0</v>
      </c>
      <c r="H38" s="405">
        <f>('14. Facility 3 Warehouse'!G23/365)*$D$38</f>
        <v>0</v>
      </c>
      <c r="I38" s="405">
        <f>('14. Facility 3 Warehouse'!H23/365)*$D$38</f>
        <v>0</v>
      </c>
      <c r="J38" s="405">
        <f>('14. Facility 3 Warehouse'!I23/365)*$D$38</f>
        <v>0</v>
      </c>
      <c r="K38" s="405">
        <f>('14. Facility 3 Warehouse'!J23/365)*$D$38</f>
        <v>0</v>
      </c>
    </row>
    <row r="39" spans="2:32">
      <c r="B39" s="203">
        <v>6</v>
      </c>
      <c r="C39" s="158" t="s">
        <v>952</v>
      </c>
      <c r="D39" s="167">
        <v>15</v>
      </c>
      <c r="E39" s="405">
        <f>+'13.Facility 2 Grain Processing-'!D87/24</f>
        <v>15.380020833333335</v>
      </c>
      <c r="F39" s="405">
        <f>+'13.Facility 2 Grain Processing-'!E87/24</f>
        <v>16.149021874999999</v>
      </c>
      <c r="G39" s="405">
        <f>+'13.Facility 2 Grain Processing-'!F87/24</f>
        <v>16.958567326388888</v>
      </c>
      <c r="H39" s="405">
        <f>+'13.Facility 2 Grain Processing-'!G87/24</f>
        <v>17.807235805555553</v>
      </c>
      <c r="I39" s="405">
        <f>+'13.Facility 2 Grain Processing-'!H87/24</f>
        <v>18.697695026388889</v>
      </c>
      <c r="J39" s="405">
        <f>+'13.Facility 2 Grain Processing-'!I87/24</f>
        <v>21.030022898611112</v>
      </c>
      <c r="K39" s="405">
        <f>+'13.Facility 2 Grain Processing-'!J87/24</f>
        <v>23.554906299222225</v>
      </c>
    </row>
    <row r="40" spans="2:32">
      <c r="B40" s="155"/>
      <c r="C40" s="156" t="s">
        <v>166</v>
      </c>
      <c r="D40" s="167"/>
      <c r="E40" s="405">
        <f t="shared" ref="E40:K40" si="8">SUM(E34:E39)</f>
        <v>15.380020833333335</v>
      </c>
      <c r="F40" s="405">
        <f t="shared" si="8"/>
        <v>16.149021874999999</v>
      </c>
      <c r="G40" s="405">
        <f t="shared" si="8"/>
        <v>16.958567326388888</v>
      </c>
      <c r="H40" s="405">
        <f t="shared" si="8"/>
        <v>17.807235805555553</v>
      </c>
      <c r="I40" s="405">
        <f t="shared" si="8"/>
        <v>18.697695026388889</v>
      </c>
      <c r="J40" s="405">
        <f t="shared" si="8"/>
        <v>21.030022898611112</v>
      </c>
      <c r="K40" s="405">
        <f t="shared" si="8"/>
        <v>23.554906299222225</v>
      </c>
    </row>
    <row r="41" spans="2:32">
      <c r="B41" s="155"/>
      <c r="C41" s="156"/>
      <c r="D41" s="167"/>
      <c r="E41" s="405"/>
      <c r="F41" s="405"/>
      <c r="G41" s="405"/>
      <c r="H41" s="405"/>
      <c r="I41" s="405"/>
      <c r="J41" s="405"/>
      <c r="K41" s="405"/>
    </row>
    <row r="42" spans="2:32">
      <c r="B42" s="155" t="s">
        <v>169</v>
      </c>
      <c r="C42" s="156" t="s">
        <v>334</v>
      </c>
      <c r="D42" s="167"/>
      <c r="E42" s="405">
        <f>'5.Closing Stock &amp; W Capital'!E21</f>
        <v>18.9955</v>
      </c>
      <c r="F42" s="405">
        <f>'5.Closing Stock &amp; W Capital'!F21</f>
        <v>36.060149999999993</v>
      </c>
      <c r="G42" s="405">
        <f>'5.Closing Stock &amp; W Capital'!G21</f>
        <v>54.790812499999994</v>
      </c>
      <c r="H42" s="405">
        <f>'5.Closing Stock &amp; W Capital'!H21</f>
        <v>75.302866666666674</v>
      </c>
      <c r="I42" s="405">
        <f>'5.Closing Stock &amp; W Capital'!I21</f>
        <v>97.726720833333331</v>
      </c>
      <c r="J42" s="405">
        <f>'5.Closing Stock &amp; W Capital'!J21</f>
        <v>123.60272083333334</v>
      </c>
      <c r="K42" s="405">
        <f>'5.Closing Stock &amp; W Capital'!K21</f>
        <v>153.29655833333334</v>
      </c>
    </row>
    <row r="43" spans="2:32">
      <c r="B43" s="155"/>
      <c r="C43" s="158"/>
      <c r="D43" s="167"/>
      <c r="E43" s="405"/>
      <c r="F43" s="405"/>
      <c r="G43" s="405"/>
      <c r="H43" s="405"/>
      <c r="I43" s="405"/>
      <c r="J43" s="405"/>
      <c r="K43" s="405"/>
    </row>
    <row r="44" spans="2:32">
      <c r="B44" s="624" t="s">
        <v>1</v>
      </c>
      <c r="C44" s="625"/>
      <c r="D44" s="178"/>
      <c r="E44" s="406">
        <f>SUM(E40:E42)</f>
        <v>34.375520833333333</v>
      </c>
      <c r="F44" s="406">
        <f t="shared" ref="F44:K44" si="9">SUM(F40:F42)</f>
        <v>52.209171874999996</v>
      </c>
      <c r="G44" s="406">
        <f t="shared" si="9"/>
        <v>71.749379826388889</v>
      </c>
      <c r="H44" s="406">
        <f t="shared" si="9"/>
        <v>93.110102472222223</v>
      </c>
      <c r="I44" s="406">
        <f t="shared" si="9"/>
        <v>116.42441585972222</v>
      </c>
      <c r="J44" s="406">
        <f t="shared" si="9"/>
        <v>144.63274373194446</v>
      </c>
      <c r="K44" s="406">
        <f t="shared" si="9"/>
        <v>176.85146463255558</v>
      </c>
    </row>
    <row r="45" spans="2:32">
      <c r="B45" s="155"/>
      <c r="C45" s="156"/>
      <c r="D45" s="167"/>
      <c r="E45" s="405"/>
      <c r="F45" s="405"/>
      <c r="G45" s="405"/>
      <c r="H45" s="405"/>
      <c r="I45" s="405"/>
      <c r="J45" s="405"/>
      <c r="K45" s="405"/>
    </row>
    <row r="46" spans="2:32" ht="34.5" customHeight="1">
      <c r="B46" s="155" t="s">
        <v>170</v>
      </c>
      <c r="C46" s="158" t="s">
        <v>336</v>
      </c>
      <c r="D46" s="167"/>
      <c r="E46" s="405"/>
      <c r="F46" s="405"/>
      <c r="G46" s="405"/>
      <c r="H46" s="405"/>
      <c r="I46" s="405"/>
      <c r="J46" s="405"/>
      <c r="K46" s="405"/>
      <c r="AF46">
        <v>30000000</v>
      </c>
    </row>
    <row r="47" spans="2:32">
      <c r="B47" s="203">
        <v>1</v>
      </c>
      <c r="C47" s="158" t="str">
        <f t="shared" ref="C47:C52" si="10">C34</f>
        <v>Agri Input</v>
      </c>
      <c r="D47" s="167">
        <v>7</v>
      </c>
      <c r="E47" s="405">
        <v>0</v>
      </c>
      <c r="F47" s="405">
        <v>0</v>
      </c>
      <c r="G47" s="405">
        <v>0</v>
      </c>
      <c r="H47" s="405">
        <v>0</v>
      </c>
      <c r="I47" s="405">
        <v>0</v>
      </c>
      <c r="J47" s="405">
        <v>0</v>
      </c>
      <c r="K47" s="405">
        <v>0</v>
      </c>
      <c r="AF47">
        <f>+AF46*5%</f>
        <v>1500000</v>
      </c>
    </row>
    <row r="48" spans="2:32">
      <c r="B48" s="203">
        <v>2</v>
      </c>
      <c r="C48" s="158" t="str">
        <f t="shared" si="10"/>
        <v>Custom Hiring</v>
      </c>
      <c r="D48" s="167">
        <v>7</v>
      </c>
      <c r="E48" s="405">
        <f>('15. Facility 4 Custom Hiring'!E49/365)*$D$49</f>
        <v>0</v>
      </c>
      <c r="F48" s="405">
        <f>('15. Facility 4 Custom Hiring'!F49/365)*$D$49</f>
        <v>0</v>
      </c>
      <c r="G48" s="405">
        <f>('15. Facility 4 Custom Hiring'!G49/365)*$D$49</f>
        <v>0</v>
      </c>
      <c r="H48" s="405">
        <f>('15. Facility 4 Custom Hiring'!H49/365)*$D$49</f>
        <v>0</v>
      </c>
      <c r="I48" s="405">
        <f>('15. Facility 4 Custom Hiring'!I49/365)*$D$49</f>
        <v>0</v>
      </c>
      <c r="J48" s="405">
        <f>('15. Facility 4 Custom Hiring'!J49/365)*$D$49</f>
        <v>0</v>
      </c>
      <c r="K48" s="405">
        <f>('15. Facility 4 Custom Hiring'!K49/365)*$D$49</f>
        <v>0</v>
      </c>
    </row>
    <row r="49" spans="2:12">
      <c r="B49" s="203">
        <v>3</v>
      </c>
      <c r="C49" s="158" t="str">
        <f t="shared" si="10"/>
        <v>Cleaning &amp; Grading</v>
      </c>
      <c r="D49" s="167">
        <v>7</v>
      </c>
      <c r="E49" s="405">
        <v>0</v>
      </c>
      <c r="F49" s="405">
        <v>0</v>
      </c>
      <c r="G49" s="405">
        <v>0</v>
      </c>
      <c r="H49" s="405">
        <v>0</v>
      </c>
      <c r="I49" s="405">
        <v>0</v>
      </c>
      <c r="J49" s="405">
        <v>0</v>
      </c>
      <c r="K49" s="405">
        <v>0</v>
      </c>
    </row>
    <row r="50" spans="2:12">
      <c r="B50" s="203">
        <v>4</v>
      </c>
      <c r="C50" s="158" t="str">
        <f t="shared" si="10"/>
        <v>Dal Mill</v>
      </c>
      <c r="D50" s="167">
        <v>7</v>
      </c>
      <c r="E50" s="405">
        <f>('17.Facility 6 Horti Processing '!D169/365)*$D$50</f>
        <v>0</v>
      </c>
      <c r="F50" s="405">
        <f>('17.Facility 6 Horti Processing '!E169/365)*$D$50</f>
        <v>0</v>
      </c>
      <c r="G50" s="405">
        <f>('17.Facility 6 Horti Processing '!F169/365)*$D$50</f>
        <v>0</v>
      </c>
      <c r="H50" s="405">
        <f>('17.Facility 6 Horti Processing '!G169/365)*$D$50</f>
        <v>0</v>
      </c>
      <c r="I50" s="405">
        <f>('17.Facility 6 Horti Processing '!H169/365)*$D$50</f>
        <v>0</v>
      </c>
      <c r="J50" s="405">
        <f>('17.Facility 6 Horti Processing '!I169/365)*$D$50</f>
        <v>0</v>
      </c>
      <c r="K50" s="405">
        <f>('17.Facility 6 Horti Processing '!J169/365)*$D$50</f>
        <v>0</v>
      </c>
    </row>
    <row r="51" spans="2:12">
      <c r="B51" s="203">
        <v>5</v>
      </c>
      <c r="C51" s="158" t="str">
        <f t="shared" si="10"/>
        <v>Warehouse</v>
      </c>
      <c r="D51" s="167">
        <v>7</v>
      </c>
      <c r="E51" s="405">
        <f>('14. Facility 3 Warehouse'!D34/365)*$D$51</f>
        <v>0</v>
      </c>
      <c r="F51" s="405">
        <f>('14. Facility 3 Warehouse'!E34/365)*$D$51</f>
        <v>0</v>
      </c>
      <c r="G51" s="405">
        <f>('14. Facility 3 Warehouse'!F34/365)*$D$51</f>
        <v>0</v>
      </c>
      <c r="H51" s="405">
        <f>('14. Facility 3 Warehouse'!G34/365)*$D$51</f>
        <v>0</v>
      </c>
      <c r="I51" s="405">
        <f>('14. Facility 3 Warehouse'!H34/365)*$D$51</f>
        <v>0</v>
      </c>
      <c r="J51" s="405">
        <f>('14. Facility 3 Warehouse'!I34/365)*$D$51</f>
        <v>0</v>
      </c>
      <c r="K51" s="405">
        <f>('14. Facility 3 Warehouse'!J34/365)*$D$51</f>
        <v>0</v>
      </c>
    </row>
    <row r="52" spans="2:12">
      <c r="B52" s="203"/>
      <c r="C52" s="158" t="str">
        <f t="shared" si="10"/>
        <v>Processing Unit - Rice Mill</v>
      </c>
      <c r="D52" s="167">
        <v>30</v>
      </c>
      <c r="E52" s="405">
        <f>+(+SUM('13.Facility 2 Grain Processing-'!D95:D103)+'13.Facility 2 Grain Processing-'!D126+'3.Other Exp &amp; Taxes'!C18)/12</f>
        <v>28.877917612499999</v>
      </c>
      <c r="F52" s="405">
        <f>+(+SUM('13.Facility 2 Grain Processing-'!E95:E103)+'13.Facility 2 Grain Processing-'!E126+'3.Other Exp &amp; Taxes'!D18)/12</f>
        <v>30.002045326458333</v>
      </c>
      <c r="G52" s="405">
        <f>+(+SUM('13.Facility 2 Grain Processing-'!F95:F103)+'13.Facility 2 Grain Processing-'!F126+'3.Other Exp &amp; Taxes'!E18)/12</f>
        <v>31.502621801114586</v>
      </c>
      <c r="H52" s="405">
        <f>+(+SUM('13.Facility 2 Grain Processing-'!G95:G103)+'13.Facility 2 Grain Processing-'!G126+'3.Other Exp &amp; Taxes'!F18)/12</f>
        <v>33.076374306675525</v>
      </c>
      <c r="I52" s="405">
        <f>+(+SUM('13.Facility 2 Grain Processing-'!H95:H103)+'13.Facility 2 Grain Processing-'!H126+'3.Other Exp &amp; Taxes'!G18)/12</f>
        <v>34.724020123997505</v>
      </c>
      <c r="J52" s="405">
        <f>+(+SUM('13.Facility 2 Grain Processing-'!I95:I103)+'13.Facility 2 Grain Processing-'!I126+'3.Other Exp &amp; Taxes'!H18)/12</f>
        <v>38.977080186369847</v>
      </c>
      <c r="K52" s="405">
        <f>+(+SUM('13.Facility 2 Grain Processing-'!J95:J103)+'13.Facility 2 Grain Processing-'!J126+'3.Other Exp &amp; Taxes'!I18)/12</f>
        <v>43.633490631113908</v>
      </c>
    </row>
    <row r="53" spans="2:12">
      <c r="B53" s="203"/>
      <c r="C53" s="158"/>
      <c r="D53" s="167"/>
      <c r="E53" s="405"/>
      <c r="F53" s="405"/>
      <c r="G53" s="405"/>
      <c r="H53" s="405"/>
      <c r="I53" s="405"/>
      <c r="J53" s="405"/>
      <c r="K53" s="405"/>
    </row>
    <row r="54" spans="2:12">
      <c r="B54" s="150"/>
      <c r="C54" s="156" t="s">
        <v>1</v>
      </c>
      <c r="D54" s="167"/>
      <c r="E54" s="406">
        <f>SUM(E47:E53)</f>
        <v>28.877917612499999</v>
      </c>
      <c r="F54" s="406">
        <f t="shared" ref="F54:K54" si="11">SUM(F47:F53)</f>
        <v>30.002045326458333</v>
      </c>
      <c r="G54" s="406">
        <f t="shared" si="11"/>
        <v>31.502621801114586</v>
      </c>
      <c r="H54" s="406">
        <f t="shared" si="11"/>
        <v>33.076374306675525</v>
      </c>
      <c r="I54" s="406">
        <f t="shared" si="11"/>
        <v>34.724020123997505</v>
      </c>
      <c r="J54" s="406">
        <f t="shared" si="11"/>
        <v>38.977080186369847</v>
      </c>
      <c r="K54" s="406">
        <f t="shared" si="11"/>
        <v>43.633490631113908</v>
      </c>
    </row>
    <row r="55" spans="2:12">
      <c r="B55" s="155" t="s">
        <v>171</v>
      </c>
      <c r="C55" s="156" t="s">
        <v>152</v>
      </c>
      <c r="D55" s="167"/>
      <c r="E55" s="406">
        <f>E44-E54</f>
        <v>5.4976032208333336</v>
      </c>
      <c r="F55" s="406">
        <f t="shared" ref="F55:K55" si="12">F44-F54</f>
        <v>22.207126548541662</v>
      </c>
      <c r="G55" s="406">
        <f t="shared" si="12"/>
        <v>40.246758025274303</v>
      </c>
      <c r="H55" s="406">
        <f t="shared" si="12"/>
        <v>60.033728165546698</v>
      </c>
      <c r="I55" s="406">
        <f t="shared" si="12"/>
        <v>81.700395735724712</v>
      </c>
      <c r="J55" s="406">
        <f t="shared" si="12"/>
        <v>105.65566354557461</v>
      </c>
      <c r="K55" s="406">
        <f t="shared" si="12"/>
        <v>133.21797400144166</v>
      </c>
    </row>
    <row r="56" spans="2:12" ht="42.75">
      <c r="B56" s="155"/>
      <c r="C56" s="156" t="s">
        <v>813</v>
      </c>
      <c r="D56" s="407">
        <v>0.75</v>
      </c>
      <c r="E56" s="406">
        <f>+E55*$D$56</f>
        <v>4.1232024156250002</v>
      </c>
      <c r="F56" s="406">
        <f t="shared" ref="F56:K56" si="13">+F55*$D$56</f>
        <v>16.655344911406246</v>
      </c>
      <c r="G56" s="406">
        <f t="shared" si="13"/>
        <v>30.185068518955728</v>
      </c>
      <c r="H56" s="406">
        <f t="shared" si="13"/>
        <v>45.025296124160022</v>
      </c>
      <c r="I56" s="406">
        <f t="shared" si="13"/>
        <v>61.27529680179353</v>
      </c>
      <c r="J56" s="406">
        <f t="shared" si="13"/>
        <v>79.241747659180959</v>
      </c>
      <c r="K56" s="406">
        <f t="shared" si="13"/>
        <v>99.913480501081239</v>
      </c>
    </row>
    <row r="57" spans="2:12">
      <c r="B57" s="155"/>
      <c r="C57" s="156" t="s">
        <v>130</v>
      </c>
      <c r="D57" s="210">
        <v>0.25</v>
      </c>
      <c r="E57" s="406">
        <f>+E55*$D$57</f>
        <v>1.3744008052083334</v>
      </c>
      <c r="F57" s="406">
        <f t="shared" ref="F57:K57" si="14">+F55*$D$57</f>
        <v>5.5517816371354156</v>
      </c>
      <c r="G57" s="406">
        <f t="shared" si="14"/>
        <v>10.061689506318576</v>
      </c>
      <c r="H57" s="406">
        <f t="shared" si="14"/>
        <v>15.008432041386675</v>
      </c>
      <c r="I57" s="406">
        <f t="shared" si="14"/>
        <v>20.425098933931178</v>
      </c>
      <c r="J57" s="406">
        <f t="shared" si="14"/>
        <v>26.413915886393653</v>
      </c>
      <c r="K57" s="406">
        <f t="shared" si="14"/>
        <v>33.304493500360415</v>
      </c>
    </row>
    <row r="59" spans="2:12">
      <c r="E59" s="20"/>
    </row>
    <row r="60" spans="2:12" ht="36.950000000000003" customHeight="1">
      <c r="B60" s="622" t="s">
        <v>398</v>
      </c>
      <c r="C60" s="622"/>
      <c r="D60" s="622"/>
      <c r="E60" s="622"/>
      <c r="F60" s="622"/>
      <c r="G60" s="622"/>
      <c r="H60" s="622"/>
      <c r="I60" s="622"/>
      <c r="J60" s="622"/>
      <c r="K60" s="622"/>
      <c r="L60" s="508"/>
    </row>
    <row r="61" spans="2:12">
      <c r="B61" t="s">
        <v>504</v>
      </c>
    </row>
    <row r="62" spans="2:12">
      <c r="B62">
        <v>1</v>
      </c>
      <c r="C62" t="s">
        <v>822</v>
      </c>
    </row>
    <row r="63" spans="2:12">
      <c r="B63">
        <v>2</v>
      </c>
      <c r="C63" t="s">
        <v>823</v>
      </c>
    </row>
    <row r="64" spans="2:12">
      <c r="B64">
        <v>3</v>
      </c>
      <c r="C64" t="s">
        <v>824</v>
      </c>
    </row>
    <row r="69" spans="3:14">
      <c r="C69" s="278" t="s">
        <v>737</v>
      </c>
      <c r="D69" s="278" t="s">
        <v>0</v>
      </c>
      <c r="E69" s="278" t="s">
        <v>2</v>
      </c>
      <c r="F69" s="278" t="s">
        <v>3</v>
      </c>
      <c r="G69" s="278" t="s">
        <v>4</v>
      </c>
      <c r="H69" s="278" t="s">
        <v>5</v>
      </c>
      <c r="I69" s="278" t="s">
        <v>6</v>
      </c>
      <c r="J69" s="278" t="s">
        <v>164</v>
      </c>
      <c r="K69" s="278" t="s">
        <v>163</v>
      </c>
      <c r="L69" s="278" t="s">
        <v>670</v>
      </c>
      <c r="M69" s="278" t="s">
        <v>671</v>
      </c>
      <c r="N69" s="278" t="s">
        <v>672</v>
      </c>
    </row>
    <row r="70" spans="3:14">
      <c r="C70" s="284"/>
      <c r="D70" s="284"/>
      <c r="E70" s="284"/>
      <c r="F70" s="284"/>
      <c r="G70" s="284"/>
      <c r="H70" s="284"/>
      <c r="I70" s="284"/>
      <c r="J70" s="272"/>
      <c r="K70" s="272"/>
      <c r="L70" s="272"/>
      <c r="M70" s="272"/>
      <c r="N70" s="272"/>
    </row>
    <row r="71" spans="3:14">
      <c r="C71" s="330">
        <v>1</v>
      </c>
      <c r="D71" s="284" t="s">
        <v>738</v>
      </c>
      <c r="E71" s="331">
        <f>[1]BS!E102</f>
        <v>0</v>
      </c>
      <c r="F71" s="331">
        <f>[1]BS!F102</f>
        <v>0</v>
      </c>
      <c r="G71" s="331">
        <f>[1]BS!G102</f>
        <v>0</v>
      </c>
      <c r="H71" s="331">
        <f>[1]BS!H102</f>
        <v>0</v>
      </c>
      <c r="I71" s="331">
        <f>[1]BS!I102</f>
        <v>0</v>
      </c>
      <c r="J71" s="331">
        <f>[1]BS!J102</f>
        <v>0</v>
      </c>
      <c r="K71" s="331">
        <f>[1]BS!K102</f>
        <v>0</v>
      </c>
      <c r="L71" s="331">
        <f>[1]BS!L102</f>
        <v>0</v>
      </c>
      <c r="M71" s="331">
        <f>[1]BS!M102</f>
        <v>0</v>
      </c>
      <c r="N71" s="331">
        <f>[1]BS!N102</f>
        <v>0</v>
      </c>
    </row>
    <row r="72" spans="3:14">
      <c r="C72" s="330">
        <v>2</v>
      </c>
      <c r="D72" s="284" t="s">
        <v>739</v>
      </c>
      <c r="E72" s="331">
        <f>[1]BS!E106+[1]BS!E107</f>
        <v>0</v>
      </c>
      <c r="F72" s="331">
        <f>[1]BS!F106+[1]BS!F107</f>
        <v>0</v>
      </c>
      <c r="G72" s="331">
        <f>[1]BS!G106+[1]BS!G107</f>
        <v>0</v>
      </c>
      <c r="H72" s="331">
        <f>[1]BS!H106+[1]BS!H107</f>
        <v>0</v>
      </c>
      <c r="I72" s="331">
        <f>[1]BS!I106+[1]BS!I107</f>
        <v>0</v>
      </c>
      <c r="J72" s="331">
        <f>[1]BS!J106+[1]BS!J107</f>
        <v>0</v>
      </c>
      <c r="K72" s="331">
        <f>[1]BS!K106+[1]BS!K107</f>
        <v>0</v>
      </c>
      <c r="L72" s="331">
        <f>[1]BS!L106+[1]BS!L107</f>
        <v>0</v>
      </c>
      <c r="M72" s="331">
        <f>[1]BS!M106+[1]BS!M107</f>
        <v>0</v>
      </c>
      <c r="N72" s="331">
        <f>[1]BS!N106+[1]BS!N107</f>
        <v>0</v>
      </c>
    </row>
    <row r="73" spans="3:14">
      <c r="C73" s="330">
        <v>3</v>
      </c>
      <c r="D73" s="284" t="s">
        <v>740</v>
      </c>
      <c r="E73" s="332">
        <f>[1]BS!E88</f>
        <v>0</v>
      </c>
      <c r="F73" s="332">
        <f>[1]BS!F88</f>
        <v>0</v>
      </c>
      <c r="G73" s="332">
        <f>[1]BS!G88</f>
        <v>0</v>
      </c>
      <c r="H73" s="332">
        <f>[1]BS!H88</f>
        <v>0</v>
      </c>
      <c r="I73" s="332">
        <f>[1]BS!I88</f>
        <v>0</v>
      </c>
      <c r="J73" s="332">
        <f>[1]BS!J88</f>
        <v>0</v>
      </c>
      <c r="K73" s="332">
        <f>[1]BS!K88</f>
        <v>0</v>
      </c>
      <c r="L73" s="332">
        <f>[1]BS!L88</f>
        <v>0</v>
      </c>
      <c r="M73" s="332">
        <f>[1]BS!M88</f>
        <v>0</v>
      </c>
      <c r="N73" s="332">
        <f>[1]BS!N88</f>
        <v>0</v>
      </c>
    </row>
    <row r="74" spans="3:14">
      <c r="C74" s="332"/>
      <c r="D74" s="284"/>
      <c r="E74" s="332"/>
      <c r="F74" s="332"/>
      <c r="G74" s="332"/>
      <c r="H74" s="332"/>
      <c r="I74" s="332"/>
      <c r="J74" s="332"/>
      <c r="K74" s="332"/>
      <c r="L74" s="272"/>
      <c r="M74" s="272"/>
      <c r="N74" s="272"/>
    </row>
    <row r="75" spans="3:14">
      <c r="C75" s="333"/>
      <c r="D75" s="284" t="s">
        <v>741</v>
      </c>
      <c r="E75" s="334">
        <f t="shared" ref="E75:N75" si="15">E71+E72-E73</f>
        <v>0</v>
      </c>
      <c r="F75" s="334">
        <f t="shared" si="15"/>
        <v>0</v>
      </c>
      <c r="G75" s="334">
        <f t="shared" si="15"/>
        <v>0</v>
      </c>
      <c r="H75" s="334">
        <f t="shared" si="15"/>
        <v>0</v>
      </c>
      <c r="I75" s="334">
        <f t="shared" si="15"/>
        <v>0</v>
      </c>
      <c r="J75" s="334">
        <f t="shared" si="15"/>
        <v>0</v>
      </c>
      <c r="K75" s="334">
        <f t="shared" si="15"/>
        <v>0</v>
      </c>
      <c r="L75" s="334">
        <f t="shared" si="15"/>
        <v>0</v>
      </c>
      <c r="M75" s="334">
        <f t="shared" si="15"/>
        <v>0</v>
      </c>
      <c r="N75" s="334">
        <f t="shared" si="15"/>
        <v>0</v>
      </c>
    </row>
    <row r="76" spans="3:14">
      <c r="C76" s="333"/>
      <c r="D76" s="284"/>
      <c r="E76" s="332"/>
      <c r="F76" s="332"/>
      <c r="G76" s="332"/>
      <c r="H76" s="332"/>
      <c r="I76" s="332"/>
      <c r="J76" s="332"/>
      <c r="K76" s="332"/>
      <c r="L76" s="272"/>
      <c r="M76" s="272"/>
      <c r="N76" s="272"/>
    </row>
    <row r="77" spans="3:14">
      <c r="C77" s="333"/>
      <c r="D77" s="284"/>
      <c r="E77" s="332"/>
      <c r="F77" s="332"/>
      <c r="G77" s="332"/>
      <c r="H77" s="332"/>
      <c r="I77" s="332"/>
      <c r="J77" s="332"/>
      <c r="K77" s="332"/>
      <c r="L77" s="272"/>
      <c r="M77" s="272"/>
      <c r="N77" s="272"/>
    </row>
    <row r="78" spans="3:14" ht="75">
      <c r="C78" s="335"/>
      <c r="D78" s="336" t="s">
        <v>742</v>
      </c>
      <c r="E78" s="337">
        <f>E71+E72-E73</f>
        <v>0</v>
      </c>
      <c r="F78" s="337">
        <f t="shared" ref="F78:N78" si="16">F71+F72-F73</f>
        <v>0</v>
      </c>
      <c r="G78" s="337">
        <f t="shared" si="16"/>
        <v>0</v>
      </c>
      <c r="H78" s="337">
        <f t="shared" si="16"/>
        <v>0</v>
      </c>
      <c r="I78" s="337">
        <f t="shared" si="16"/>
        <v>0</v>
      </c>
      <c r="J78" s="337">
        <f t="shared" si="16"/>
        <v>0</v>
      </c>
      <c r="K78" s="337">
        <f t="shared" si="16"/>
        <v>0</v>
      </c>
      <c r="L78" s="337">
        <f t="shared" si="16"/>
        <v>0</v>
      </c>
      <c r="M78" s="337">
        <f t="shared" si="16"/>
        <v>0</v>
      </c>
      <c r="N78" s="337">
        <f t="shared" si="16"/>
        <v>0</v>
      </c>
    </row>
    <row r="79" spans="3:14">
      <c r="C79" s="333"/>
      <c r="D79" s="284"/>
      <c r="E79" s="284"/>
      <c r="F79" s="284"/>
      <c r="G79" s="284"/>
      <c r="H79" s="284"/>
      <c r="I79" s="284"/>
      <c r="J79" s="272"/>
      <c r="K79" s="272"/>
      <c r="L79" s="272"/>
      <c r="M79" s="272"/>
      <c r="N79" s="272"/>
    </row>
    <row r="80" spans="3:14">
      <c r="C80" s="333"/>
      <c r="D80" s="284" t="s">
        <v>743</v>
      </c>
      <c r="E80" s="334">
        <f>E78*0.25</f>
        <v>0</v>
      </c>
      <c r="F80" s="334">
        <f t="shared" ref="F80:N80" si="17">F78*0.25</f>
        <v>0</v>
      </c>
      <c r="G80" s="334">
        <f t="shared" si="17"/>
        <v>0</v>
      </c>
      <c r="H80" s="334">
        <f t="shared" si="17"/>
        <v>0</v>
      </c>
      <c r="I80" s="334">
        <f t="shared" si="17"/>
        <v>0</v>
      </c>
      <c r="J80" s="334">
        <f t="shared" si="17"/>
        <v>0</v>
      </c>
      <c r="K80" s="334">
        <f t="shared" si="17"/>
        <v>0</v>
      </c>
      <c r="L80" s="334">
        <f t="shared" si="17"/>
        <v>0</v>
      </c>
      <c r="M80" s="334">
        <f t="shared" si="17"/>
        <v>0</v>
      </c>
      <c r="N80" s="334">
        <f t="shared" si="17"/>
        <v>0</v>
      </c>
    </row>
    <row r="81" spans="3:14">
      <c r="C81" s="333"/>
      <c r="D81" s="284"/>
      <c r="E81" s="284"/>
      <c r="F81" s="284"/>
      <c r="G81" s="284"/>
      <c r="H81" s="284"/>
      <c r="I81" s="284"/>
      <c r="J81" s="272"/>
      <c r="K81" s="272"/>
      <c r="L81" s="272"/>
      <c r="M81" s="272"/>
      <c r="N81" s="272"/>
    </row>
    <row r="82" spans="3:14" ht="60">
      <c r="C82" s="333"/>
      <c r="D82" s="281" t="s">
        <v>744</v>
      </c>
      <c r="E82" s="334">
        <f>E78-E80</f>
        <v>0</v>
      </c>
      <c r="F82" s="334">
        <f t="shared" ref="F82:N82" si="18">F78-F80</f>
        <v>0</v>
      </c>
      <c r="G82" s="334">
        <f t="shared" si="18"/>
        <v>0</v>
      </c>
      <c r="H82" s="334">
        <f t="shared" si="18"/>
        <v>0</v>
      </c>
      <c r="I82" s="334">
        <f t="shared" si="18"/>
        <v>0</v>
      </c>
      <c r="J82" s="334">
        <f t="shared" si="18"/>
        <v>0</v>
      </c>
      <c r="K82" s="334">
        <f t="shared" si="18"/>
        <v>0</v>
      </c>
      <c r="L82" s="334">
        <f t="shared" si="18"/>
        <v>0</v>
      </c>
      <c r="M82" s="334">
        <f t="shared" si="18"/>
        <v>0</v>
      </c>
      <c r="N82" s="334">
        <f t="shared" si="18"/>
        <v>0</v>
      </c>
    </row>
  </sheetData>
  <mergeCells count="13">
    <mergeCell ref="B60:K60"/>
    <mergeCell ref="N6:R6"/>
    <mergeCell ref="U5:V5"/>
    <mergeCell ref="U6:V6"/>
    <mergeCell ref="B44:C44"/>
    <mergeCell ref="C2:K2"/>
    <mergeCell ref="N5:R5"/>
    <mergeCell ref="B28:K28"/>
    <mergeCell ref="B30:B31"/>
    <mergeCell ref="C30:C31"/>
    <mergeCell ref="D30:D31"/>
    <mergeCell ref="E30:K30"/>
    <mergeCell ref="C23:K23"/>
  </mergeCells>
  <pageMargins left="0.7" right="0.7" top="0.75" bottom="0.75" header="0.3" footer="0.3"/>
  <pageSetup paperSize="9" scale="54" orientation="portrait" horizont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6"/>
  <sheetViews>
    <sheetView view="pageBreakPreview" topLeftCell="A44" zoomScale="85" zoomScaleSheetLayoutView="85" workbookViewId="0">
      <selection activeCell="A62" sqref="A5:H62"/>
    </sheetView>
  </sheetViews>
  <sheetFormatPr defaultColWidth="9.140625" defaultRowHeight="15"/>
  <cols>
    <col min="1" max="1" width="40.5703125" style="310" bestFit="1" customWidth="1"/>
    <col min="2" max="8" width="11" style="310" customWidth="1"/>
    <col min="9" max="9" width="8.5703125" style="310" customWidth="1"/>
    <col min="10" max="10" width="10.140625" style="310" bestFit="1" customWidth="1"/>
    <col min="11" max="11" width="9.5703125" style="310" bestFit="1" customWidth="1"/>
    <col min="12" max="16384" width="9.140625" style="310"/>
  </cols>
  <sheetData>
    <row r="2" spans="1:11" ht="18.75">
      <c r="A2" s="626" t="s">
        <v>523</v>
      </c>
      <c r="B2" s="626"/>
      <c r="C2" s="626"/>
      <c r="D2" s="626"/>
      <c r="E2" s="626"/>
      <c r="F2" s="626"/>
      <c r="G2" s="626"/>
      <c r="H2" s="626"/>
    </row>
    <row r="5" spans="1:11">
      <c r="A5" s="338" t="s">
        <v>0</v>
      </c>
      <c r="B5" s="339" t="s">
        <v>2</v>
      </c>
      <c r="C5" s="339" t="s">
        <v>3</v>
      </c>
      <c r="D5" s="339" t="s">
        <v>4</v>
      </c>
      <c r="E5" s="339" t="s">
        <v>5</v>
      </c>
      <c r="F5" s="339" t="s">
        <v>6</v>
      </c>
      <c r="G5" s="339" t="s">
        <v>164</v>
      </c>
      <c r="H5" s="339" t="s">
        <v>163</v>
      </c>
    </row>
    <row r="6" spans="1:11">
      <c r="A6" s="340" t="s">
        <v>124</v>
      </c>
      <c r="B6" s="309"/>
      <c r="C6" s="309"/>
      <c r="D6" s="309"/>
      <c r="E6" s="309"/>
      <c r="F6" s="309"/>
      <c r="G6" s="309"/>
      <c r="H6" s="309"/>
    </row>
    <row r="7" spans="1:11">
      <c r="A7" s="309"/>
      <c r="B7" s="309"/>
      <c r="C7" s="309"/>
      <c r="D7" s="309"/>
      <c r="E7" s="309"/>
      <c r="F7" s="309"/>
      <c r="G7" s="309"/>
      <c r="H7" s="309"/>
    </row>
    <row r="8" spans="1:11">
      <c r="A8" s="309" t="s">
        <v>483</v>
      </c>
      <c r="B8" s="308">
        <v>0</v>
      </c>
      <c r="C8" s="308">
        <v>0</v>
      </c>
      <c r="D8" s="308">
        <v>0</v>
      </c>
      <c r="E8" s="308">
        <v>0</v>
      </c>
      <c r="F8" s="308">
        <v>0</v>
      </c>
      <c r="G8" s="308">
        <v>0</v>
      </c>
      <c r="H8" s="308">
        <v>0</v>
      </c>
    </row>
    <row r="9" spans="1:11">
      <c r="A9" s="309" t="s">
        <v>495</v>
      </c>
      <c r="B9" s="308">
        <f>'17.Facility 6 Horti Processing '!D148</f>
        <v>0</v>
      </c>
      <c r="C9" s="308">
        <f>'17.Facility 6 Horti Processing '!E148</f>
        <v>0</v>
      </c>
      <c r="D9" s="308">
        <f>'17.Facility 6 Horti Processing '!F148</f>
        <v>0</v>
      </c>
      <c r="E9" s="308">
        <f>'17.Facility 6 Horti Processing '!G148</f>
        <v>0</v>
      </c>
      <c r="F9" s="308">
        <f>'17.Facility 6 Horti Processing '!H148</f>
        <v>0</v>
      </c>
      <c r="G9" s="308">
        <f>'17.Facility 6 Horti Processing '!I148</f>
        <v>0</v>
      </c>
      <c r="H9" s="308">
        <f>'17.Facility 6 Horti Processing '!J148</f>
        <v>0</v>
      </c>
    </row>
    <row r="10" spans="1:11">
      <c r="A10" s="309" t="s">
        <v>484</v>
      </c>
      <c r="B10" s="308">
        <f>'14. Facility 3 Warehouse'!D23</f>
        <v>0</v>
      </c>
      <c r="C10" s="308">
        <f>'14. Facility 3 Warehouse'!E23</f>
        <v>0</v>
      </c>
      <c r="D10" s="308">
        <f>'14. Facility 3 Warehouse'!F23</f>
        <v>0</v>
      </c>
      <c r="E10" s="308">
        <f>'14. Facility 3 Warehouse'!G23</f>
        <v>0</v>
      </c>
      <c r="F10" s="308">
        <f>'14. Facility 3 Warehouse'!H23</f>
        <v>0</v>
      </c>
      <c r="G10" s="308">
        <f>'14. Facility 3 Warehouse'!I23</f>
        <v>0</v>
      </c>
      <c r="H10" s="308">
        <f>'14. Facility 3 Warehouse'!J23</f>
        <v>0</v>
      </c>
    </row>
    <row r="11" spans="1:11">
      <c r="A11" s="309" t="s">
        <v>485</v>
      </c>
      <c r="B11" s="308">
        <f>'15. Facility 4 Custom Hiring'!E39</f>
        <v>0</v>
      </c>
      <c r="C11" s="308">
        <f>'15. Facility 4 Custom Hiring'!F39</f>
        <v>0</v>
      </c>
      <c r="D11" s="308">
        <f>'15. Facility 4 Custom Hiring'!G39</f>
        <v>0</v>
      </c>
      <c r="E11" s="308">
        <f>'15. Facility 4 Custom Hiring'!H39</f>
        <v>0</v>
      </c>
      <c r="F11" s="308">
        <f>'15. Facility 4 Custom Hiring'!I39</f>
        <v>0</v>
      </c>
      <c r="G11" s="308">
        <f>'15. Facility 4 Custom Hiring'!J39</f>
        <v>0</v>
      </c>
      <c r="H11" s="308">
        <f>'15. Facility 4 Custom Hiring'!K39</f>
        <v>0</v>
      </c>
    </row>
    <row r="12" spans="1:11">
      <c r="A12" s="309" t="s">
        <v>482</v>
      </c>
      <c r="B12" s="308">
        <v>0</v>
      </c>
      <c r="C12" s="308">
        <v>0</v>
      </c>
      <c r="D12" s="308">
        <v>0</v>
      </c>
      <c r="E12" s="308">
        <v>0</v>
      </c>
      <c r="F12" s="308">
        <v>0</v>
      </c>
      <c r="G12" s="308">
        <v>0</v>
      </c>
      <c r="H12" s="308">
        <v>0</v>
      </c>
      <c r="K12" s="309" t="s">
        <v>495</v>
      </c>
    </row>
    <row r="13" spans="1:11">
      <c r="A13" s="309" t="s">
        <v>951</v>
      </c>
      <c r="B13" s="308">
        <f>+'13.Facility 2 Grain Processing-'!D82</f>
        <v>352.99250000000006</v>
      </c>
      <c r="C13" s="308">
        <f>+'13.Facility 2 Grain Processing-'!E82</f>
        <v>370.64212500000002</v>
      </c>
      <c r="D13" s="308">
        <f>+'13.Facility 2 Grain Processing-'!F82</f>
        <v>389.22449583333332</v>
      </c>
      <c r="E13" s="308">
        <f>+'13.Facility 2 Grain Processing-'!G82</f>
        <v>408.70348333333334</v>
      </c>
      <c r="F13" s="308">
        <f>+'13.Facility 2 Grain Processing-'!H82</f>
        <v>429.14099583333331</v>
      </c>
      <c r="G13" s="308">
        <f>+'13.Facility 2 Grain Processing-'!I82</f>
        <v>482.66640416666667</v>
      </c>
      <c r="H13" s="308">
        <f>+'13.Facility 2 Grain Processing-'!J82</f>
        <v>540.61710833333336</v>
      </c>
    </row>
    <row r="14" spans="1:11">
      <c r="A14" s="309" t="s">
        <v>745</v>
      </c>
      <c r="B14" s="308">
        <f>+'13.Facility 2 Grain Processing-'!D81</f>
        <v>16.127999999999997</v>
      </c>
      <c r="C14" s="308">
        <f>+'13.Facility 2 Grain Processing-'!E81</f>
        <v>16.934399999999997</v>
      </c>
      <c r="D14" s="308">
        <f>+'13.Facility 2 Grain Processing-'!F81</f>
        <v>17.781119999999998</v>
      </c>
      <c r="E14" s="308">
        <f>+'13.Facility 2 Grain Processing-'!G81</f>
        <v>18.670175999999998</v>
      </c>
      <c r="F14" s="308">
        <f>+'13.Facility 2 Grain Processing-'!H81</f>
        <v>19.6036848</v>
      </c>
      <c r="G14" s="308">
        <f>+'13.Facility 2 Grain Processing-'!I81</f>
        <v>22.054145400000007</v>
      </c>
      <c r="H14" s="308">
        <f>+'13.Facility 2 Grain Processing-'!J81</f>
        <v>24.700642848000008</v>
      </c>
    </row>
    <row r="15" spans="1:11">
      <c r="A15" s="309" t="s">
        <v>746</v>
      </c>
      <c r="B15" s="308">
        <f>+'13.Facility 2 Grain Processing-'!D83</f>
        <v>0</v>
      </c>
      <c r="C15" s="308">
        <f>+'13.Facility 2 Grain Processing-'!E83</f>
        <v>0</v>
      </c>
      <c r="D15" s="308">
        <f>+'13.Facility 2 Grain Processing-'!F83</f>
        <v>0</v>
      </c>
      <c r="E15" s="308">
        <f>+'13.Facility 2 Grain Processing-'!G83</f>
        <v>0</v>
      </c>
      <c r="F15" s="308">
        <f>+'13.Facility 2 Grain Processing-'!H83</f>
        <v>0</v>
      </c>
      <c r="G15" s="308">
        <f>+'13.Facility 2 Grain Processing-'!I83</f>
        <v>0</v>
      </c>
      <c r="H15" s="308">
        <f>+'13.Facility 2 Grain Processing-'!J83</f>
        <v>0</v>
      </c>
    </row>
    <row r="16" spans="1:11">
      <c r="A16" s="309"/>
      <c r="B16" s="308"/>
      <c r="C16" s="308"/>
      <c r="D16" s="308"/>
      <c r="E16" s="308"/>
      <c r="F16" s="308"/>
      <c r="G16" s="308"/>
      <c r="H16" s="308"/>
    </row>
    <row r="17" spans="1:8">
      <c r="A17" s="309" t="s">
        <v>809</v>
      </c>
      <c r="B17" s="308">
        <f>+'13.Facility 2 Grain Processing-'!C226</f>
        <v>0</v>
      </c>
      <c r="C17" s="308">
        <f>+'13.Facility 2 Grain Processing-'!D226</f>
        <v>15.3475</v>
      </c>
      <c r="D17" s="308">
        <f>+'13.Facility 2 Grain Processing-'!E226</f>
        <v>32.229749999999996</v>
      </c>
      <c r="E17" s="308">
        <f>+'13.Facility 2 Grain Processing-'!F226</f>
        <v>50.768412499999997</v>
      </c>
      <c r="F17" s="308">
        <f>+'13.Facility 2 Grain Processing-'!G226</f>
        <v>71.07886666666667</v>
      </c>
      <c r="G17" s="308">
        <f>+'13.Facility 2 Grain Processing-'!H226</f>
        <v>93.291520833333337</v>
      </c>
      <c r="H17" s="308">
        <f>+'13.Facility 2 Grain Processing-'!I226</f>
        <v>118.94512083333333</v>
      </c>
    </row>
    <row r="18" spans="1:8">
      <c r="A18" s="309" t="s">
        <v>810</v>
      </c>
      <c r="B18" s="308">
        <f>+'13.Facility 2 Grain Processing-'!C227</f>
        <v>15.3475</v>
      </c>
      <c r="C18" s="308">
        <f>+'13.Facility 2 Grain Processing-'!D227</f>
        <v>32.229749999999996</v>
      </c>
      <c r="D18" s="308">
        <f>+'13.Facility 2 Grain Processing-'!E227</f>
        <v>50.768412499999997</v>
      </c>
      <c r="E18" s="308">
        <f>+'13.Facility 2 Grain Processing-'!F227</f>
        <v>71.07886666666667</v>
      </c>
      <c r="F18" s="308">
        <f>+'13.Facility 2 Grain Processing-'!G227</f>
        <v>93.291520833333337</v>
      </c>
      <c r="G18" s="308">
        <f>+'13.Facility 2 Grain Processing-'!H227</f>
        <v>118.94512083333333</v>
      </c>
      <c r="H18" s="308">
        <f>+'13.Facility 2 Grain Processing-'!I227</f>
        <v>148.40535833333334</v>
      </c>
    </row>
    <row r="19" spans="1:8">
      <c r="A19" s="340" t="s">
        <v>138</v>
      </c>
      <c r="B19" s="341">
        <f>+SUM(B8:B15)+B18-B17</f>
        <v>384.46800000000007</v>
      </c>
      <c r="C19" s="341">
        <f t="shared" ref="C19:H19" si="0">+SUM(C8:C15)+C18-C17</f>
        <v>404.458775</v>
      </c>
      <c r="D19" s="341">
        <f t="shared" si="0"/>
        <v>425.5442783333333</v>
      </c>
      <c r="E19" s="341">
        <f t="shared" si="0"/>
        <v>447.68411349999997</v>
      </c>
      <c r="F19" s="341">
        <f t="shared" si="0"/>
        <v>470.95733479999996</v>
      </c>
      <c r="G19" s="341">
        <f t="shared" si="0"/>
        <v>530.37414956666657</v>
      </c>
      <c r="H19" s="341">
        <f t="shared" si="0"/>
        <v>594.77798868133334</v>
      </c>
    </row>
    <row r="20" spans="1:8">
      <c r="A20" s="309"/>
      <c r="B20" s="308"/>
      <c r="C20" s="308"/>
      <c r="D20" s="308"/>
      <c r="E20" s="308"/>
      <c r="F20" s="308"/>
      <c r="G20" s="308"/>
      <c r="H20" s="308"/>
    </row>
    <row r="21" spans="1:8">
      <c r="A21" s="340" t="s">
        <v>302</v>
      </c>
      <c r="B21" s="308"/>
      <c r="C21" s="308"/>
      <c r="D21" s="308"/>
      <c r="E21" s="308"/>
      <c r="F21" s="308"/>
      <c r="G21" s="308"/>
      <c r="H21" s="308"/>
    </row>
    <row r="22" spans="1:8">
      <c r="A22" s="309" t="str">
        <f t="shared" ref="A22:A27" si="1">A8</f>
        <v>Faclitiy 1 - Cleaning &amp; Grading</v>
      </c>
      <c r="B22" s="308">
        <v>0</v>
      </c>
      <c r="C22" s="308">
        <v>0</v>
      </c>
      <c r="D22" s="308">
        <v>0</v>
      </c>
      <c r="E22" s="308">
        <v>0</v>
      </c>
      <c r="F22" s="308">
        <v>0</v>
      </c>
      <c r="G22" s="308">
        <v>0</v>
      </c>
      <c r="H22" s="308">
        <v>0</v>
      </c>
    </row>
    <row r="23" spans="1:8">
      <c r="A23" s="309" t="str">
        <f t="shared" si="1"/>
        <v>Facility 6 - Processing Unit - Horti Commodity</v>
      </c>
      <c r="B23" s="308">
        <f>'17.Facility 6 Horti Processing '!D169</f>
        <v>0</v>
      </c>
      <c r="C23" s="308">
        <f>'17.Facility 6 Horti Processing '!E169</f>
        <v>0</v>
      </c>
      <c r="D23" s="308">
        <f>'17.Facility 6 Horti Processing '!F169</f>
        <v>0</v>
      </c>
      <c r="E23" s="308">
        <f>'17.Facility 6 Horti Processing '!G169</f>
        <v>0</v>
      </c>
      <c r="F23" s="308">
        <f>'17.Facility 6 Horti Processing '!H169</f>
        <v>0</v>
      </c>
      <c r="G23" s="308">
        <f>'17.Facility 6 Horti Processing '!I169</f>
        <v>0</v>
      </c>
      <c r="H23" s="308">
        <f>'17.Facility 6 Horti Processing '!J169</f>
        <v>0</v>
      </c>
    </row>
    <row r="24" spans="1:8">
      <c r="A24" s="309" t="str">
        <f t="shared" si="1"/>
        <v>Faclitiy 3 - Warehouse</v>
      </c>
      <c r="B24" s="308">
        <f>'14. Facility 3 Warehouse'!D34</f>
        <v>0</v>
      </c>
      <c r="C24" s="308">
        <f>'14. Facility 3 Warehouse'!E34</f>
        <v>0</v>
      </c>
      <c r="D24" s="308">
        <f>'14. Facility 3 Warehouse'!F34</f>
        <v>0</v>
      </c>
      <c r="E24" s="308">
        <f>'14. Facility 3 Warehouse'!G34</f>
        <v>0</v>
      </c>
      <c r="F24" s="308">
        <f>'14. Facility 3 Warehouse'!H34</f>
        <v>0</v>
      </c>
      <c r="G24" s="308">
        <f>'14. Facility 3 Warehouse'!I34</f>
        <v>0</v>
      </c>
      <c r="H24" s="308">
        <f>'14. Facility 3 Warehouse'!J34</f>
        <v>0</v>
      </c>
    </row>
    <row r="25" spans="1:8">
      <c r="A25" s="309" t="str">
        <f t="shared" si="1"/>
        <v xml:space="preserve">Faclitiy 4 - Custom Hiring </v>
      </c>
      <c r="B25" s="308">
        <f>'15. Facility 4 Custom Hiring'!E49</f>
        <v>0</v>
      </c>
      <c r="C25" s="308">
        <f>'15. Facility 4 Custom Hiring'!F49</f>
        <v>0</v>
      </c>
      <c r="D25" s="308">
        <f>'15. Facility 4 Custom Hiring'!G49</f>
        <v>0</v>
      </c>
      <c r="E25" s="308">
        <f>'15. Facility 4 Custom Hiring'!H49</f>
        <v>0</v>
      </c>
      <c r="F25" s="308">
        <f>'15. Facility 4 Custom Hiring'!I49</f>
        <v>0</v>
      </c>
      <c r="G25" s="308">
        <f>'15. Facility 4 Custom Hiring'!J49</f>
        <v>0</v>
      </c>
      <c r="H25" s="308">
        <f>'15. Facility 4 Custom Hiring'!K49</f>
        <v>0</v>
      </c>
    </row>
    <row r="26" spans="1:8">
      <c r="A26" s="309" t="str">
        <f t="shared" si="1"/>
        <v>Faclitiy 5 - Agri Input Centre</v>
      </c>
      <c r="B26" s="308">
        <v>0</v>
      </c>
      <c r="C26" s="308">
        <v>0</v>
      </c>
      <c r="D26" s="308">
        <v>0</v>
      </c>
      <c r="E26" s="308">
        <v>0</v>
      </c>
      <c r="F26" s="308">
        <v>0</v>
      </c>
      <c r="G26" s="308">
        <v>0</v>
      </c>
      <c r="H26" s="308">
        <v>0</v>
      </c>
    </row>
    <row r="27" spans="1:8">
      <c r="A27" s="309" t="str">
        <f t="shared" si="1"/>
        <v>Faclitiy 2 - Processing Unit- Rice Mill</v>
      </c>
      <c r="B27" s="308">
        <f>'13.Facility 2 Grain Processing-'!D109</f>
        <v>331.98635999999999</v>
      </c>
      <c r="C27" s="308">
        <f>'13.Facility 2 Grain Processing-'!E109</f>
        <v>348.39796000000007</v>
      </c>
      <c r="D27" s="308">
        <f>'13.Facility 2 Grain Processing-'!F109</f>
        <v>365.79436000000004</v>
      </c>
      <c r="E27" s="308">
        <f>'13.Facility 2 Grain Processing-'!G109</f>
        <v>384.00076000000007</v>
      </c>
      <c r="F27" s="308">
        <f>'13.Facility 2 Grain Processing-'!H109</f>
        <v>403.00716000000006</v>
      </c>
      <c r="G27" s="308">
        <f>'13.Facility 2 Grain Processing-'!I109</f>
        <v>453.15870000000001</v>
      </c>
      <c r="H27" s="308">
        <f>'13.Facility 2 Grain Processing-'!J109</f>
        <v>507.97823999999991</v>
      </c>
    </row>
    <row r="28" spans="1:8">
      <c r="A28" s="309"/>
      <c r="B28" s="308"/>
      <c r="C28" s="308"/>
      <c r="D28" s="308"/>
      <c r="E28" s="308"/>
      <c r="F28" s="308"/>
      <c r="G28" s="308"/>
      <c r="H28" s="308"/>
    </row>
    <row r="29" spans="1:8">
      <c r="A29" s="340" t="s">
        <v>309</v>
      </c>
      <c r="B29" s="341">
        <f>SUM(B22:B28)</f>
        <v>331.98635999999999</v>
      </c>
      <c r="C29" s="341">
        <f t="shared" ref="C29:H29" si="2">SUM(C22:C28)</f>
        <v>348.39796000000007</v>
      </c>
      <c r="D29" s="341">
        <f t="shared" si="2"/>
        <v>365.79436000000004</v>
      </c>
      <c r="E29" s="341">
        <f t="shared" si="2"/>
        <v>384.00076000000007</v>
      </c>
      <c r="F29" s="341">
        <f t="shared" si="2"/>
        <v>403.00716000000006</v>
      </c>
      <c r="G29" s="341">
        <f t="shared" si="2"/>
        <v>453.15870000000001</v>
      </c>
      <c r="H29" s="341">
        <f t="shared" si="2"/>
        <v>507.97823999999991</v>
      </c>
    </row>
    <row r="30" spans="1:8">
      <c r="A30" s="309"/>
      <c r="B30" s="308"/>
      <c r="C30" s="308"/>
      <c r="D30" s="308"/>
      <c r="E30" s="308"/>
      <c r="F30" s="308"/>
      <c r="G30" s="308"/>
      <c r="H30" s="308"/>
    </row>
    <row r="31" spans="1:8">
      <c r="A31" s="340" t="s">
        <v>300</v>
      </c>
      <c r="B31" s="308"/>
      <c r="C31" s="308"/>
      <c r="D31" s="308"/>
      <c r="E31" s="308"/>
      <c r="F31" s="308"/>
      <c r="G31" s="308"/>
      <c r="H31" s="308"/>
    </row>
    <row r="32" spans="1:8">
      <c r="A32" s="309" t="str">
        <f t="shared" ref="A32:A37" si="3">A22</f>
        <v>Faclitiy 1 - Cleaning &amp; Grading</v>
      </c>
      <c r="B32" s="308">
        <f>'12.Facility 1 - Trading'!D301</f>
        <v>0</v>
      </c>
      <c r="C32" s="308">
        <f>'12.Facility 1 - Trading'!E301</f>
        <v>0</v>
      </c>
      <c r="D32" s="308">
        <f>'12.Facility 1 - Trading'!F301</f>
        <v>0</v>
      </c>
      <c r="E32" s="308">
        <f>'12.Facility 1 - Trading'!G301</f>
        <v>0</v>
      </c>
      <c r="F32" s="308">
        <f>'12.Facility 1 - Trading'!H301</f>
        <v>0</v>
      </c>
      <c r="G32" s="308">
        <f>'12.Facility 1 - Trading'!I301</f>
        <v>0</v>
      </c>
      <c r="H32" s="308">
        <f>'12.Facility 1 - Trading'!J301</f>
        <v>0</v>
      </c>
    </row>
    <row r="33" spans="1:8">
      <c r="A33" s="309" t="str">
        <f t="shared" si="3"/>
        <v>Facility 6 - Processing Unit - Horti Commodity</v>
      </c>
      <c r="B33" s="308">
        <f>'17.Facility 6 Horti Processing '!D177</f>
        <v>0</v>
      </c>
      <c r="C33" s="308">
        <f>'17.Facility 6 Horti Processing '!E177</f>
        <v>0</v>
      </c>
      <c r="D33" s="308">
        <f>'17.Facility 6 Horti Processing '!F177</f>
        <v>0</v>
      </c>
      <c r="E33" s="308">
        <f>'17.Facility 6 Horti Processing '!G177</f>
        <v>0</v>
      </c>
      <c r="F33" s="308">
        <f>'17.Facility 6 Horti Processing '!H177</f>
        <v>0</v>
      </c>
      <c r="G33" s="308">
        <f>'17.Facility 6 Horti Processing '!I177</f>
        <v>0</v>
      </c>
      <c r="H33" s="308">
        <f>'17.Facility 6 Horti Processing '!J177</f>
        <v>0</v>
      </c>
    </row>
    <row r="34" spans="1:8">
      <c r="A34" s="309" t="str">
        <f t="shared" si="3"/>
        <v>Faclitiy 3 - Warehouse</v>
      </c>
      <c r="B34" s="308">
        <f>'14. Facility 3 Warehouse'!D43</f>
        <v>0</v>
      </c>
      <c r="C34" s="308">
        <f>'14. Facility 3 Warehouse'!E43</f>
        <v>0</v>
      </c>
      <c r="D34" s="308">
        <f>'14. Facility 3 Warehouse'!F43</f>
        <v>0</v>
      </c>
      <c r="E34" s="308">
        <f>'14. Facility 3 Warehouse'!G43</f>
        <v>0</v>
      </c>
      <c r="F34" s="308">
        <f>'14. Facility 3 Warehouse'!H43</f>
        <v>0</v>
      </c>
      <c r="G34" s="308">
        <f>'14. Facility 3 Warehouse'!I43</f>
        <v>0</v>
      </c>
      <c r="H34" s="308">
        <f>'14. Facility 3 Warehouse'!J43</f>
        <v>0</v>
      </c>
    </row>
    <row r="35" spans="1:8">
      <c r="A35" s="309" t="str">
        <f t="shared" si="3"/>
        <v xml:space="preserve">Faclitiy 4 - Custom Hiring </v>
      </c>
      <c r="B35" s="308">
        <f>'15. Facility 4 Custom Hiring'!E56</f>
        <v>0</v>
      </c>
      <c r="C35" s="308">
        <f>'15. Facility 4 Custom Hiring'!F56</f>
        <v>0</v>
      </c>
      <c r="D35" s="308">
        <f>'15. Facility 4 Custom Hiring'!G56</f>
        <v>0</v>
      </c>
      <c r="E35" s="308">
        <f>'15. Facility 4 Custom Hiring'!H56</f>
        <v>0</v>
      </c>
      <c r="F35" s="308">
        <f>'15. Facility 4 Custom Hiring'!I56</f>
        <v>0</v>
      </c>
      <c r="G35" s="308">
        <f>'15. Facility 4 Custom Hiring'!J56</f>
        <v>0</v>
      </c>
      <c r="H35" s="308">
        <f>'15. Facility 4 Custom Hiring'!K56</f>
        <v>0</v>
      </c>
    </row>
    <row r="36" spans="1:8">
      <c r="A36" s="309" t="str">
        <f t="shared" si="3"/>
        <v>Faclitiy 5 - Agri Input Centre</v>
      </c>
      <c r="B36" s="308">
        <f>'16.Facility 5 Agri Input'!D273</f>
        <v>0</v>
      </c>
      <c r="C36" s="308">
        <f>'16.Facility 5 Agri Input'!E273</f>
        <v>0</v>
      </c>
      <c r="D36" s="308">
        <f>'16.Facility 5 Agri Input'!F273</f>
        <v>0</v>
      </c>
      <c r="E36" s="308">
        <f>'16.Facility 5 Agri Input'!G273</f>
        <v>0</v>
      </c>
      <c r="F36" s="308">
        <f>'16.Facility 5 Agri Input'!H273</f>
        <v>0</v>
      </c>
      <c r="G36" s="308">
        <f>'16.Facility 5 Agri Input'!I273</f>
        <v>0</v>
      </c>
      <c r="H36" s="308">
        <f>'16.Facility 5 Agri Input'!J273</f>
        <v>0</v>
      </c>
    </row>
    <row r="37" spans="1:8">
      <c r="A37" s="309" t="str">
        <f t="shared" si="3"/>
        <v>Faclitiy 2 - Processing Unit- Rice Mill</v>
      </c>
      <c r="B37" s="308">
        <f>'13.Facility 2 Grain Processing-'!D126</f>
        <v>5.4486513499999996</v>
      </c>
      <c r="C37" s="308">
        <f>'13.Facility 2 Grain Processing-'!E126</f>
        <v>5.7210839175000014</v>
      </c>
      <c r="D37" s="308">
        <f>'13.Facility 2 Grain Processing-'!F126</f>
        <v>6.0373466133749982</v>
      </c>
      <c r="E37" s="308">
        <f>'13.Facility 2 Grain Processing-'!G126</f>
        <v>6.4074889301062496</v>
      </c>
      <c r="F37" s="308">
        <f>'13.Facility 2 Grain Processing-'!H126</f>
        <v>6.8494066004699761</v>
      </c>
      <c r="G37" s="308">
        <f>'13.Facility 2 Grain Processing-'!I126</f>
        <v>7.3938636045631654</v>
      </c>
      <c r="H37" s="308">
        <f>'13.Facility 2 Grain Processing-'!J126</f>
        <v>8.094049009898125</v>
      </c>
    </row>
    <row r="38" spans="1:8">
      <c r="A38" s="309"/>
      <c r="B38" s="308"/>
      <c r="C38" s="308"/>
      <c r="D38" s="308"/>
      <c r="E38" s="308"/>
      <c r="F38" s="308"/>
      <c r="G38" s="308"/>
      <c r="H38" s="308"/>
    </row>
    <row r="39" spans="1:8">
      <c r="A39" s="309" t="s">
        <v>9</v>
      </c>
      <c r="B39" s="308">
        <f>+'3.Other Exp &amp; Taxes'!C18</f>
        <v>5.4519999999999991</v>
      </c>
      <c r="C39" s="308">
        <f>+'3.Other Exp &amp; Taxes'!D18</f>
        <v>5.7230999999999996</v>
      </c>
      <c r="D39" s="308">
        <f>+'3.Other Exp &amp; Taxes'!E18</f>
        <v>6.0077550000000004</v>
      </c>
      <c r="E39" s="308">
        <f>+'3.Other Exp &amp; Taxes'!F18</f>
        <v>6.3066427500000017</v>
      </c>
      <c r="F39" s="308">
        <f>+'3.Other Exp &amp; Taxes'!G18</f>
        <v>6.6204748875000012</v>
      </c>
      <c r="G39" s="308">
        <f>+'3.Other Exp &amp; Taxes'!H18</f>
        <v>6.9499986318750011</v>
      </c>
      <c r="H39" s="308">
        <f>+'3.Other Exp &amp; Taxes'!I18</f>
        <v>7.2959985634687516</v>
      </c>
    </row>
    <row r="40" spans="1:8">
      <c r="A40" s="340" t="s">
        <v>313</v>
      </c>
      <c r="B40" s="341">
        <f t="shared" ref="B40:H40" si="4">SUM(B32:B39)</f>
        <v>10.900651349999999</v>
      </c>
      <c r="C40" s="341">
        <f t="shared" si="4"/>
        <v>11.444183917500002</v>
      </c>
      <c r="D40" s="341">
        <f t="shared" si="4"/>
        <v>12.045101613375</v>
      </c>
      <c r="E40" s="341">
        <f t="shared" si="4"/>
        <v>12.714131680106252</v>
      </c>
      <c r="F40" s="341">
        <f t="shared" si="4"/>
        <v>13.469881487969978</v>
      </c>
      <c r="G40" s="341">
        <f t="shared" si="4"/>
        <v>14.343862236438166</v>
      </c>
      <c r="H40" s="341">
        <f t="shared" si="4"/>
        <v>15.390047573366877</v>
      </c>
    </row>
    <row r="41" spans="1:8">
      <c r="A41" s="309"/>
      <c r="B41" s="308"/>
      <c r="C41" s="308"/>
      <c r="D41" s="308"/>
      <c r="E41" s="308"/>
      <c r="F41" s="308"/>
      <c r="G41" s="308"/>
      <c r="H41" s="308"/>
    </row>
    <row r="42" spans="1:8">
      <c r="A42" s="340" t="s">
        <v>317</v>
      </c>
      <c r="B42" s="341">
        <f t="shared" ref="B42:H42" si="5">B29+B40</f>
        <v>342.88701134999997</v>
      </c>
      <c r="C42" s="341">
        <f t="shared" si="5"/>
        <v>359.8421439175001</v>
      </c>
      <c r="D42" s="341">
        <f t="shared" si="5"/>
        <v>377.83946161337502</v>
      </c>
      <c r="E42" s="341">
        <f t="shared" si="5"/>
        <v>396.71489168010635</v>
      </c>
      <c r="F42" s="341">
        <f t="shared" si="5"/>
        <v>416.47704148797004</v>
      </c>
      <c r="G42" s="341">
        <f t="shared" si="5"/>
        <v>467.50256223643817</v>
      </c>
      <c r="H42" s="341">
        <f t="shared" si="5"/>
        <v>523.36828757336684</v>
      </c>
    </row>
    <row r="43" spans="1:8">
      <c r="A43" s="309"/>
      <c r="B43" s="308"/>
      <c r="C43" s="308"/>
      <c r="D43" s="308"/>
      <c r="E43" s="308"/>
      <c r="F43" s="308"/>
      <c r="G43" s="308"/>
      <c r="H43" s="308"/>
    </row>
    <row r="44" spans="1:8">
      <c r="A44" s="340" t="s">
        <v>132</v>
      </c>
      <c r="B44" s="341">
        <f t="shared" ref="B44:H44" si="6">B19-B42</f>
        <v>41.580988650000108</v>
      </c>
      <c r="C44" s="341">
        <f t="shared" si="6"/>
        <v>44.616631082499907</v>
      </c>
      <c r="D44" s="341">
        <f t="shared" si="6"/>
        <v>47.704816719958274</v>
      </c>
      <c r="E44" s="341">
        <f t="shared" si="6"/>
        <v>50.969221819893619</v>
      </c>
      <c r="F44" s="341">
        <f t="shared" si="6"/>
        <v>54.480293312029914</v>
      </c>
      <c r="G44" s="341">
        <f t="shared" si="6"/>
        <v>62.871587330228408</v>
      </c>
      <c r="H44" s="341">
        <f t="shared" si="6"/>
        <v>71.409701107966498</v>
      </c>
    </row>
    <row r="45" spans="1:8">
      <c r="A45" s="309"/>
      <c r="B45" s="308"/>
      <c r="C45" s="308"/>
      <c r="D45" s="308"/>
      <c r="E45" s="308"/>
      <c r="F45" s="308"/>
      <c r="G45" s="308"/>
      <c r="H45" s="308"/>
    </row>
    <row r="46" spans="1:8">
      <c r="A46" s="309" t="s">
        <v>16</v>
      </c>
      <c r="B46" s="308">
        <f>'3.Other Exp &amp; Taxes'!C58</f>
        <v>6.8592830929999993</v>
      </c>
      <c r="C46" s="308">
        <f>'3.Other Exp &amp; Taxes'!D58</f>
        <v>6.8592830929999993</v>
      </c>
      <c r="D46" s="308">
        <f>'3.Other Exp &amp; Taxes'!E58</f>
        <v>6.8592830929999993</v>
      </c>
      <c r="E46" s="308">
        <f>'3.Other Exp &amp; Taxes'!F58</f>
        <v>6.8592830929999993</v>
      </c>
      <c r="F46" s="308">
        <f>'3.Other Exp &amp; Taxes'!G58</f>
        <v>6.8592830929999993</v>
      </c>
      <c r="G46" s="308">
        <f>'3.Other Exp &amp; Taxes'!H58</f>
        <v>6.8592830929999993</v>
      </c>
      <c r="H46" s="308">
        <f>'3.Other Exp &amp; Taxes'!I58</f>
        <v>6.8592830929999993</v>
      </c>
    </row>
    <row r="47" spans="1:8">
      <c r="A47" s="309" t="s">
        <v>133</v>
      </c>
      <c r="B47" s="308">
        <f>'3.Other Exp &amp; Taxes'!C78</f>
        <v>1.0765006428571426</v>
      </c>
      <c r="C47" s="308">
        <f>'3.Other Exp &amp; Taxes'!D78</f>
        <v>1.0765006428571426</v>
      </c>
      <c r="D47" s="308">
        <f>'3.Other Exp &amp; Taxes'!E78</f>
        <v>1.0765006428571426</v>
      </c>
      <c r="E47" s="308">
        <f>'3.Other Exp &amp; Taxes'!F78</f>
        <v>1.0765006428571426</v>
      </c>
      <c r="F47" s="308">
        <f>'3.Other Exp &amp; Taxes'!G78</f>
        <v>1.0765006428571426</v>
      </c>
      <c r="G47" s="308">
        <f>'3.Other Exp &amp; Taxes'!H78</f>
        <v>1.0765006428571426</v>
      </c>
      <c r="H47" s="308">
        <f>'3.Other Exp &amp; Taxes'!I78</f>
        <v>1.0765006428571426</v>
      </c>
    </row>
    <row r="48" spans="1:8">
      <c r="A48" s="309"/>
      <c r="B48" s="308"/>
      <c r="C48" s="308"/>
      <c r="D48" s="308"/>
      <c r="E48" s="308"/>
      <c r="F48" s="308"/>
      <c r="G48" s="308"/>
      <c r="H48" s="308"/>
    </row>
    <row r="49" spans="1:9">
      <c r="A49" s="340" t="s">
        <v>134</v>
      </c>
      <c r="B49" s="341">
        <f>B44-B46-B47</f>
        <v>33.645204914142965</v>
      </c>
      <c r="C49" s="341">
        <f t="shared" ref="C49:H49" si="7">C44-C46-C47</f>
        <v>36.680847346642764</v>
      </c>
      <c r="D49" s="341">
        <f t="shared" si="7"/>
        <v>39.769032984101131</v>
      </c>
      <c r="E49" s="341">
        <f t="shared" si="7"/>
        <v>43.033438084036476</v>
      </c>
      <c r="F49" s="341">
        <f t="shared" si="7"/>
        <v>46.544509576172771</v>
      </c>
      <c r="G49" s="341">
        <f t="shared" si="7"/>
        <v>54.935803594371265</v>
      </c>
      <c r="H49" s="341">
        <f t="shared" si="7"/>
        <v>63.473917372109355</v>
      </c>
    </row>
    <row r="50" spans="1:9">
      <c r="A50" s="309"/>
      <c r="B50" s="308"/>
      <c r="C50" s="308"/>
      <c r="D50" s="308"/>
      <c r="E50" s="308"/>
      <c r="F50" s="308"/>
      <c r="G50" s="308"/>
      <c r="H50" s="308"/>
    </row>
    <row r="51" spans="1:9">
      <c r="A51" s="309" t="s">
        <v>23</v>
      </c>
      <c r="B51" s="308">
        <f>+SUM('4.TL repayment sch'!D10:D21)</f>
        <v>2.7752550612717903</v>
      </c>
      <c r="C51" s="308">
        <f>+SUM('4.TL repayment sch'!D22:D33)</f>
        <v>2.1523237642186404</v>
      </c>
      <c r="D51" s="308">
        <f>+SUM('4.TL repayment sch'!D34:D45)</f>
        <v>1.3622136318301119</v>
      </c>
      <c r="E51" s="308">
        <f>+SUM('4.TL repayment sch'!D46:D57)</f>
        <v>0.49798571910380662</v>
      </c>
      <c r="F51" s="308">
        <f>+SUM('4.TL repayment sch'!D58:D69)</f>
        <v>2.3980817331903381E-14</v>
      </c>
      <c r="G51" s="308">
        <f>+SUM('4.TL repayment sch'!D70:D81)</f>
        <v>2.3980817331903381E-14</v>
      </c>
      <c r="H51" s="308">
        <f>+SUM('4.TL repayment sch'!D82:D93)</f>
        <v>2.3980817331903381E-14</v>
      </c>
    </row>
    <row r="52" spans="1:9">
      <c r="A52" s="309" t="s">
        <v>814</v>
      </c>
      <c r="B52" s="308">
        <f>+'5.Closing Stock &amp; W Capital'!E56*9%</f>
        <v>0.37108821740625003</v>
      </c>
      <c r="C52" s="308">
        <f>+'5.Closing Stock &amp; W Capital'!F56*9%</f>
        <v>1.4989810420265621</v>
      </c>
      <c r="D52" s="308">
        <f>+'5.Closing Stock &amp; W Capital'!G56*9%</f>
        <v>2.7166561667060152</v>
      </c>
      <c r="E52" s="308">
        <f>+'5.Closing Stock &amp; W Capital'!H56*9%</f>
        <v>4.0522766511744015</v>
      </c>
      <c r="F52" s="308">
        <f>+'5.Closing Stock &amp; W Capital'!I56*9%</f>
        <v>5.5147767121614173</v>
      </c>
      <c r="G52" s="308">
        <f>+'5.Closing Stock &amp; W Capital'!J56*9%</f>
        <v>7.1317572893262859</v>
      </c>
      <c r="H52" s="308">
        <f>+'5.Closing Stock &amp; W Capital'!K56*9%</f>
        <v>8.9922132450973109</v>
      </c>
    </row>
    <row r="53" spans="1:9">
      <c r="A53" s="309"/>
      <c r="B53" s="308"/>
      <c r="C53" s="308"/>
      <c r="D53" s="308"/>
      <c r="E53" s="308"/>
      <c r="F53" s="308"/>
      <c r="G53" s="308"/>
      <c r="H53" s="308"/>
    </row>
    <row r="54" spans="1:9">
      <c r="A54" s="309" t="s">
        <v>24</v>
      </c>
      <c r="B54" s="308">
        <f>B49-B51-B52</f>
        <v>30.498861635464927</v>
      </c>
      <c r="C54" s="308">
        <f t="shared" ref="C54:H54" si="8">C49-C51-C52</f>
        <v>33.029542540397557</v>
      </c>
      <c r="D54" s="308">
        <f t="shared" si="8"/>
        <v>35.690163185565005</v>
      </c>
      <c r="E54" s="308">
        <f t="shared" si="8"/>
        <v>38.483175713758264</v>
      </c>
      <c r="F54" s="308">
        <f t="shared" si="8"/>
        <v>41.029732864011336</v>
      </c>
      <c r="G54" s="308">
        <f t="shared" si="8"/>
        <v>47.804046305044956</v>
      </c>
      <c r="H54" s="308">
        <f t="shared" si="8"/>
        <v>54.481704127012023</v>
      </c>
    </row>
    <row r="55" spans="1:9">
      <c r="A55" s="309" t="s">
        <v>25</v>
      </c>
      <c r="B55" s="308">
        <f>'3.Other Exp &amp; Taxes'!B91</f>
        <v>4.9382295894008816</v>
      </c>
      <c r="C55" s="308">
        <f>'3.Other Exp &amp; Taxes'!C91</f>
        <v>6.2021592836833666</v>
      </c>
      <c r="D55" s="308">
        <f>'3.Other Exp &amp; Taxes'!D91</f>
        <v>7.4200084662769026</v>
      </c>
      <c r="E55" s="308">
        <f>'3.Other Exp &amp; Taxes'!E91</f>
        <v>8.6032916154596499</v>
      </c>
      <c r="F55" s="308">
        <f>'3.Other Exp &amp; Taxes'!F91</f>
        <v>9.6628641069070742</v>
      </c>
      <c r="G55" s="308">
        <f>'3.Other Exp &amp; Taxes'!G91</f>
        <v>11.770072540976496</v>
      </c>
      <c r="H55" s="308">
        <f>'3.Other Exp &amp; Taxes'!H91</f>
        <v>13.807502979867182</v>
      </c>
    </row>
    <row r="56" spans="1:9">
      <c r="A56" s="340" t="s">
        <v>27</v>
      </c>
      <c r="B56" s="308">
        <f>B54-B55</f>
        <v>25.560632046064043</v>
      </c>
      <c r="C56" s="308">
        <f>C54-C55</f>
        <v>26.827383256714192</v>
      </c>
      <c r="D56" s="308">
        <f>D54-D55</f>
        <v>28.270154719288101</v>
      </c>
      <c r="E56" s="308">
        <f>E54-E55</f>
        <v>29.879884098298614</v>
      </c>
      <c r="F56" s="308">
        <f>F54-F55</f>
        <v>31.366868757104264</v>
      </c>
      <c r="G56" s="308">
        <f t="shared" ref="G56:H56" si="9">G54-G55</f>
        <v>36.033973764068463</v>
      </c>
      <c r="H56" s="308">
        <f t="shared" si="9"/>
        <v>40.674201147144842</v>
      </c>
    </row>
    <row r="57" spans="1:9" ht="30">
      <c r="A57" s="527" t="s">
        <v>964</v>
      </c>
      <c r="B57" s="308">
        <f>+B56*0.52</f>
        <v>13.291528663953303</v>
      </c>
      <c r="C57" s="308">
        <f t="shared" ref="C57:H57" si="10">+C56*0.52</f>
        <v>13.95023929349138</v>
      </c>
      <c r="D57" s="308">
        <f t="shared" si="10"/>
        <v>14.700480454029814</v>
      </c>
      <c r="E57" s="308">
        <f t="shared" si="10"/>
        <v>15.537539731115279</v>
      </c>
      <c r="F57" s="308">
        <f t="shared" si="10"/>
        <v>16.310771753694219</v>
      </c>
      <c r="G57" s="308">
        <f t="shared" si="10"/>
        <v>18.7376663573156</v>
      </c>
      <c r="H57" s="308">
        <f t="shared" si="10"/>
        <v>21.150584596515319</v>
      </c>
    </row>
    <row r="58" spans="1:9">
      <c r="A58" s="340" t="s">
        <v>889</v>
      </c>
      <c r="B58" s="341">
        <f>+B56-B57</f>
        <v>12.269103382110741</v>
      </c>
      <c r="C58" s="341">
        <f t="shared" ref="C58:H58" si="11">+C56-C57</f>
        <v>12.877143963222812</v>
      </c>
      <c r="D58" s="341">
        <f t="shared" si="11"/>
        <v>13.569674265258287</v>
      </c>
      <c r="E58" s="341">
        <f t="shared" si="11"/>
        <v>14.342344367183335</v>
      </c>
      <c r="F58" s="341">
        <f t="shared" si="11"/>
        <v>15.056097003410045</v>
      </c>
      <c r="G58" s="341">
        <f t="shared" si="11"/>
        <v>17.296307406752863</v>
      </c>
      <c r="H58" s="341">
        <f t="shared" si="11"/>
        <v>19.523616550629523</v>
      </c>
    </row>
    <row r="59" spans="1:9">
      <c r="A59" s="309" t="s">
        <v>486</v>
      </c>
      <c r="B59" s="308">
        <f>+B58</f>
        <v>12.269103382110741</v>
      </c>
      <c r="C59" s="308">
        <f t="shared" ref="C59:H59" si="12">B59+C58</f>
        <v>25.146247345333553</v>
      </c>
      <c r="D59" s="308">
        <f t="shared" si="12"/>
        <v>38.715921610591842</v>
      </c>
      <c r="E59" s="308">
        <f t="shared" si="12"/>
        <v>53.058265977775179</v>
      </c>
      <c r="F59" s="308">
        <f t="shared" si="12"/>
        <v>68.114362981185224</v>
      </c>
      <c r="G59" s="308">
        <f t="shared" si="12"/>
        <v>85.410670387938083</v>
      </c>
      <c r="H59" s="308">
        <f t="shared" si="12"/>
        <v>104.93428693856761</v>
      </c>
    </row>
    <row r="60" spans="1:9">
      <c r="A60" s="75"/>
      <c r="B60" s="342"/>
      <c r="C60" s="342"/>
      <c r="D60" s="342"/>
      <c r="E60" s="342"/>
      <c r="F60" s="342"/>
      <c r="G60" s="342"/>
      <c r="H60" s="342"/>
    </row>
    <row r="61" spans="1:9" s="526" customFormat="1" ht="43.5" customHeight="1">
      <c r="A61" s="628" t="s">
        <v>892</v>
      </c>
      <c r="B61" s="628"/>
      <c r="C61" s="628"/>
      <c r="D61" s="628"/>
      <c r="E61" s="628"/>
      <c r="F61" s="628"/>
      <c r="G61" s="628"/>
      <c r="H61" s="628"/>
    </row>
    <row r="62" spans="1:9" ht="31.5" customHeight="1">
      <c r="A62" s="629" t="s">
        <v>891</v>
      </c>
      <c r="B62" s="629"/>
      <c r="C62" s="629"/>
      <c r="D62" s="629"/>
      <c r="E62" s="629"/>
      <c r="F62" s="629"/>
      <c r="G62" s="629"/>
      <c r="H62" s="629"/>
    </row>
    <row r="63" spans="1:9">
      <c r="A63" s="525"/>
      <c r="B63" s="525"/>
      <c r="C63" s="525"/>
      <c r="D63" s="525"/>
      <c r="E63" s="525"/>
      <c r="F63" s="525"/>
      <c r="G63" s="525"/>
      <c r="H63" s="525"/>
    </row>
    <row r="64" spans="1:9" ht="32.450000000000003" customHeight="1">
      <c r="A64" s="627" t="s">
        <v>392</v>
      </c>
      <c r="B64" s="627"/>
      <c r="C64" s="627"/>
      <c r="D64" s="627"/>
      <c r="E64" s="627"/>
      <c r="F64" s="627"/>
      <c r="G64" s="627"/>
      <c r="H64" s="627"/>
      <c r="I64" s="509"/>
    </row>
    <row r="66" spans="1:1">
      <c r="A66" s="343"/>
    </row>
  </sheetData>
  <mergeCells count="4">
    <mergeCell ref="A2:H2"/>
    <mergeCell ref="A64:H64"/>
    <mergeCell ref="A61:H61"/>
    <mergeCell ref="A62:H62"/>
  </mergeCells>
  <pageMargins left="0.7" right="0.7" top="0.75" bottom="0.75" header="0.3" footer="0.3"/>
  <pageSetup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view="pageBreakPreview" topLeftCell="A46" zoomScale="220" zoomScaleSheetLayoutView="220" workbookViewId="0">
      <selection activeCell="A4" sqref="A4:H47"/>
    </sheetView>
  </sheetViews>
  <sheetFormatPr defaultRowHeight="15"/>
  <cols>
    <col min="1" max="1" width="37.28515625" style="35" customWidth="1"/>
    <col min="2" max="2" width="18.42578125" style="35" bestFit="1" customWidth="1"/>
    <col min="3" max="3" width="12.42578125" style="35" bestFit="1" customWidth="1"/>
    <col min="4" max="6" width="13.5703125" style="35" bestFit="1" customWidth="1"/>
    <col min="7" max="8" width="12.42578125" style="35" bestFit="1" customWidth="1"/>
    <col min="9" max="9" width="9.140625" style="35"/>
    <col min="10" max="10" width="32.85546875" style="35" bestFit="1" customWidth="1"/>
    <col min="11" max="11" width="8.7109375" style="35" customWidth="1"/>
    <col min="12" max="16" width="8.7109375" style="35" bestFit="1"/>
    <col min="17" max="17" width="10.140625" style="35" bestFit="1" customWidth="1"/>
    <col min="18" max="256" width="9.140625" style="35"/>
    <col min="257" max="257" width="37.28515625" style="35" customWidth="1"/>
    <col min="258" max="258" width="18.42578125" style="35" bestFit="1" customWidth="1"/>
    <col min="259" max="262" width="12.42578125" style="35" bestFit="1" customWidth="1"/>
    <col min="263" max="263" width="11.7109375" style="35" bestFit="1" customWidth="1"/>
    <col min="264" max="512" width="9.140625" style="35"/>
    <col min="513" max="513" width="37.28515625" style="35" customWidth="1"/>
    <col min="514" max="514" width="18.42578125" style="35" bestFit="1" customWidth="1"/>
    <col min="515" max="518" width="12.42578125" style="35" bestFit="1" customWidth="1"/>
    <col min="519" max="519" width="11.7109375" style="35" bestFit="1" customWidth="1"/>
    <col min="520" max="768" width="9.140625" style="35"/>
    <col min="769" max="769" width="37.28515625" style="35" customWidth="1"/>
    <col min="770" max="770" width="18.42578125" style="35" bestFit="1" customWidth="1"/>
    <col min="771" max="774" width="12.42578125" style="35" bestFit="1" customWidth="1"/>
    <col min="775" max="775" width="11.7109375" style="35" bestFit="1" customWidth="1"/>
    <col min="776" max="1024" width="9.140625" style="35"/>
    <col min="1025" max="1025" width="37.28515625" style="35" customWidth="1"/>
    <col min="1026" max="1026" width="18.42578125" style="35" bestFit="1" customWidth="1"/>
    <col min="1027" max="1030" width="12.42578125" style="35" bestFit="1" customWidth="1"/>
    <col min="1031" max="1031" width="11.7109375" style="35" bestFit="1" customWidth="1"/>
    <col min="1032" max="1280" width="9.140625" style="35"/>
    <col min="1281" max="1281" width="37.28515625" style="35" customWidth="1"/>
    <col min="1282" max="1282" width="18.42578125" style="35" bestFit="1" customWidth="1"/>
    <col min="1283" max="1286" width="12.42578125" style="35" bestFit="1" customWidth="1"/>
    <col min="1287" max="1287" width="11.7109375" style="35" bestFit="1" customWidth="1"/>
    <col min="1288" max="1536" width="9.140625" style="35"/>
    <col min="1537" max="1537" width="37.28515625" style="35" customWidth="1"/>
    <col min="1538" max="1538" width="18.42578125" style="35" bestFit="1" customWidth="1"/>
    <col min="1539" max="1542" width="12.42578125" style="35" bestFit="1" customWidth="1"/>
    <col min="1543" max="1543" width="11.7109375" style="35" bestFit="1" customWidth="1"/>
    <col min="1544" max="1792" width="9.140625" style="35"/>
    <col min="1793" max="1793" width="37.28515625" style="35" customWidth="1"/>
    <col min="1794" max="1794" width="18.42578125" style="35" bestFit="1" customWidth="1"/>
    <col min="1795" max="1798" width="12.42578125" style="35" bestFit="1" customWidth="1"/>
    <col min="1799" max="1799" width="11.7109375" style="35" bestFit="1" customWidth="1"/>
    <col min="1800" max="2048" width="9.140625" style="35"/>
    <col min="2049" max="2049" width="37.28515625" style="35" customWidth="1"/>
    <col min="2050" max="2050" width="18.42578125" style="35" bestFit="1" customWidth="1"/>
    <col min="2051" max="2054" width="12.42578125" style="35" bestFit="1" customWidth="1"/>
    <col min="2055" max="2055" width="11.7109375" style="35" bestFit="1" customWidth="1"/>
    <col min="2056" max="2304" width="9.140625" style="35"/>
    <col min="2305" max="2305" width="37.28515625" style="35" customWidth="1"/>
    <col min="2306" max="2306" width="18.42578125" style="35" bestFit="1" customWidth="1"/>
    <col min="2307" max="2310" width="12.42578125" style="35" bestFit="1" customWidth="1"/>
    <col min="2311" max="2311" width="11.7109375" style="35" bestFit="1" customWidth="1"/>
    <col min="2312" max="2560" width="9.140625" style="35"/>
    <col min="2561" max="2561" width="37.28515625" style="35" customWidth="1"/>
    <col min="2562" max="2562" width="18.42578125" style="35" bestFit="1" customWidth="1"/>
    <col min="2563" max="2566" width="12.42578125" style="35" bestFit="1" customWidth="1"/>
    <col min="2567" max="2567" width="11.7109375" style="35" bestFit="1" customWidth="1"/>
    <col min="2568" max="2816" width="9.140625" style="35"/>
    <col min="2817" max="2817" width="37.28515625" style="35" customWidth="1"/>
    <col min="2818" max="2818" width="18.42578125" style="35" bestFit="1" customWidth="1"/>
    <col min="2819" max="2822" width="12.42578125" style="35" bestFit="1" customWidth="1"/>
    <col min="2823" max="2823" width="11.7109375" style="35" bestFit="1" customWidth="1"/>
    <col min="2824" max="3072" width="9.140625" style="35"/>
    <col min="3073" max="3073" width="37.28515625" style="35" customWidth="1"/>
    <col min="3074" max="3074" width="18.42578125" style="35" bestFit="1" customWidth="1"/>
    <col min="3075" max="3078" width="12.42578125" style="35" bestFit="1" customWidth="1"/>
    <col min="3079" max="3079" width="11.7109375" style="35" bestFit="1" customWidth="1"/>
    <col min="3080" max="3328" width="9.140625" style="35"/>
    <col min="3329" max="3329" width="37.28515625" style="35" customWidth="1"/>
    <col min="3330" max="3330" width="18.42578125" style="35" bestFit="1" customWidth="1"/>
    <col min="3331" max="3334" width="12.42578125" style="35" bestFit="1" customWidth="1"/>
    <col min="3335" max="3335" width="11.7109375" style="35" bestFit="1" customWidth="1"/>
    <col min="3336" max="3584" width="9.140625" style="35"/>
    <col min="3585" max="3585" width="37.28515625" style="35" customWidth="1"/>
    <col min="3586" max="3586" width="18.42578125" style="35" bestFit="1" customWidth="1"/>
    <col min="3587" max="3590" width="12.42578125" style="35" bestFit="1" customWidth="1"/>
    <col min="3591" max="3591" width="11.7109375" style="35" bestFit="1" customWidth="1"/>
    <col min="3592" max="3840" width="9.140625" style="35"/>
    <col min="3841" max="3841" width="37.28515625" style="35" customWidth="1"/>
    <col min="3842" max="3842" width="18.42578125" style="35" bestFit="1" customWidth="1"/>
    <col min="3843" max="3846" width="12.42578125" style="35" bestFit="1" customWidth="1"/>
    <col min="3847" max="3847" width="11.7109375" style="35" bestFit="1" customWidth="1"/>
    <col min="3848" max="4096" width="9.140625" style="35"/>
    <col min="4097" max="4097" width="37.28515625" style="35" customWidth="1"/>
    <col min="4098" max="4098" width="18.42578125" style="35" bestFit="1" customWidth="1"/>
    <col min="4099" max="4102" width="12.42578125" style="35" bestFit="1" customWidth="1"/>
    <col min="4103" max="4103" width="11.7109375" style="35" bestFit="1" customWidth="1"/>
    <col min="4104" max="4352" width="9.140625" style="35"/>
    <col min="4353" max="4353" width="37.28515625" style="35" customWidth="1"/>
    <col min="4354" max="4354" width="18.42578125" style="35" bestFit="1" customWidth="1"/>
    <col min="4355" max="4358" width="12.42578125" style="35" bestFit="1" customWidth="1"/>
    <col min="4359" max="4359" width="11.7109375" style="35" bestFit="1" customWidth="1"/>
    <col min="4360" max="4608" width="9.140625" style="35"/>
    <col min="4609" max="4609" width="37.28515625" style="35" customWidth="1"/>
    <col min="4610" max="4610" width="18.42578125" style="35" bestFit="1" customWidth="1"/>
    <col min="4611" max="4614" width="12.42578125" style="35" bestFit="1" customWidth="1"/>
    <col min="4615" max="4615" width="11.7109375" style="35" bestFit="1" customWidth="1"/>
    <col min="4616" max="4864" width="9.140625" style="35"/>
    <col min="4865" max="4865" width="37.28515625" style="35" customWidth="1"/>
    <col min="4866" max="4866" width="18.42578125" style="35" bestFit="1" customWidth="1"/>
    <col min="4867" max="4870" width="12.42578125" style="35" bestFit="1" customWidth="1"/>
    <col min="4871" max="4871" width="11.7109375" style="35" bestFit="1" customWidth="1"/>
    <col min="4872" max="5120" width="9.140625" style="35"/>
    <col min="5121" max="5121" width="37.28515625" style="35" customWidth="1"/>
    <col min="5122" max="5122" width="18.42578125" style="35" bestFit="1" customWidth="1"/>
    <col min="5123" max="5126" width="12.42578125" style="35" bestFit="1" customWidth="1"/>
    <col min="5127" max="5127" width="11.7109375" style="35" bestFit="1" customWidth="1"/>
    <col min="5128" max="5376" width="9.140625" style="35"/>
    <col min="5377" max="5377" width="37.28515625" style="35" customWidth="1"/>
    <col min="5378" max="5378" width="18.42578125" style="35" bestFit="1" customWidth="1"/>
    <col min="5379" max="5382" width="12.42578125" style="35" bestFit="1" customWidth="1"/>
    <col min="5383" max="5383" width="11.7109375" style="35" bestFit="1" customWidth="1"/>
    <col min="5384" max="5632" width="9.140625" style="35"/>
    <col min="5633" max="5633" width="37.28515625" style="35" customWidth="1"/>
    <col min="5634" max="5634" width="18.42578125" style="35" bestFit="1" customWidth="1"/>
    <col min="5635" max="5638" width="12.42578125" style="35" bestFit="1" customWidth="1"/>
    <col min="5639" max="5639" width="11.7109375" style="35" bestFit="1" customWidth="1"/>
    <col min="5640" max="5888" width="9.140625" style="35"/>
    <col min="5889" max="5889" width="37.28515625" style="35" customWidth="1"/>
    <col min="5890" max="5890" width="18.42578125" style="35" bestFit="1" customWidth="1"/>
    <col min="5891" max="5894" width="12.42578125" style="35" bestFit="1" customWidth="1"/>
    <col min="5895" max="5895" width="11.7109375" style="35" bestFit="1" customWidth="1"/>
    <col min="5896" max="6144" width="9.140625" style="35"/>
    <col min="6145" max="6145" width="37.28515625" style="35" customWidth="1"/>
    <col min="6146" max="6146" width="18.42578125" style="35" bestFit="1" customWidth="1"/>
    <col min="6147" max="6150" width="12.42578125" style="35" bestFit="1" customWidth="1"/>
    <col min="6151" max="6151" width="11.7109375" style="35" bestFit="1" customWidth="1"/>
    <col min="6152" max="6400" width="9.140625" style="35"/>
    <col min="6401" max="6401" width="37.28515625" style="35" customWidth="1"/>
    <col min="6402" max="6402" width="18.42578125" style="35" bestFit="1" customWidth="1"/>
    <col min="6403" max="6406" width="12.42578125" style="35" bestFit="1" customWidth="1"/>
    <col min="6407" max="6407" width="11.7109375" style="35" bestFit="1" customWidth="1"/>
    <col min="6408" max="6656" width="9.140625" style="35"/>
    <col min="6657" max="6657" width="37.28515625" style="35" customWidth="1"/>
    <col min="6658" max="6658" width="18.42578125" style="35" bestFit="1" customWidth="1"/>
    <col min="6659" max="6662" width="12.42578125" style="35" bestFit="1" customWidth="1"/>
    <col min="6663" max="6663" width="11.7109375" style="35" bestFit="1" customWidth="1"/>
    <col min="6664" max="6912" width="9.140625" style="35"/>
    <col min="6913" max="6913" width="37.28515625" style="35" customWidth="1"/>
    <col min="6914" max="6914" width="18.42578125" style="35" bestFit="1" customWidth="1"/>
    <col min="6915" max="6918" width="12.42578125" style="35" bestFit="1" customWidth="1"/>
    <col min="6919" max="6919" width="11.7109375" style="35" bestFit="1" customWidth="1"/>
    <col min="6920" max="7168" width="9.140625" style="35"/>
    <col min="7169" max="7169" width="37.28515625" style="35" customWidth="1"/>
    <col min="7170" max="7170" width="18.42578125" style="35" bestFit="1" customWidth="1"/>
    <col min="7171" max="7174" width="12.42578125" style="35" bestFit="1" customWidth="1"/>
    <col min="7175" max="7175" width="11.7109375" style="35" bestFit="1" customWidth="1"/>
    <col min="7176" max="7424" width="9.140625" style="35"/>
    <col min="7425" max="7425" width="37.28515625" style="35" customWidth="1"/>
    <col min="7426" max="7426" width="18.42578125" style="35" bestFit="1" customWidth="1"/>
    <col min="7427" max="7430" width="12.42578125" style="35" bestFit="1" customWidth="1"/>
    <col min="7431" max="7431" width="11.7109375" style="35" bestFit="1" customWidth="1"/>
    <col min="7432" max="7680" width="9.140625" style="35"/>
    <col min="7681" max="7681" width="37.28515625" style="35" customWidth="1"/>
    <col min="7682" max="7682" width="18.42578125" style="35" bestFit="1" customWidth="1"/>
    <col min="7683" max="7686" width="12.42578125" style="35" bestFit="1" customWidth="1"/>
    <col min="7687" max="7687" width="11.7109375" style="35" bestFit="1" customWidth="1"/>
    <col min="7688" max="7936" width="9.140625" style="35"/>
    <col min="7937" max="7937" width="37.28515625" style="35" customWidth="1"/>
    <col min="7938" max="7938" width="18.42578125" style="35" bestFit="1" customWidth="1"/>
    <col min="7939" max="7942" width="12.42578125" style="35" bestFit="1" customWidth="1"/>
    <col min="7943" max="7943" width="11.7109375" style="35" bestFit="1" customWidth="1"/>
    <col min="7944" max="8192" width="9.140625" style="35"/>
    <col min="8193" max="8193" width="37.28515625" style="35" customWidth="1"/>
    <col min="8194" max="8194" width="18.42578125" style="35" bestFit="1" customWidth="1"/>
    <col min="8195" max="8198" width="12.42578125" style="35" bestFit="1" customWidth="1"/>
    <col min="8199" max="8199" width="11.7109375" style="35" bestFit="1" customWidth="1"/>
    <col min="8200" max="8448" width="9.140625" style="35"/>
    <col min="8449" max="8449" width="37.28515625" style="35" customWidth="1"/>
    <col min="8450" max="8450" width="18.42578125" style="35" bestFit="1" customWidth="1"/>
    <col min="8451" max="8454" width="12.42578125" style="35" bestFit="1" customWidth="1"/>
    <col min="8455" max="8455" width="11.7109375" style="35" bestFit="1" customWidth="1"/>
    <col min="8456" max="8704" width="9.140625" style="35"/>
    <col min="8705" max="8705" width="37.28515625" style="35" customWidth="1"/>
    <col min="8706" max="8706" width="18.42578125" style="35" bestFit="1" customWidth="1"/>
    <col min="8707" max="8710" width="12.42578125" style="35" bestFit="1" customWidth="1"/>
    <col min="8711" max="8711" width="11.7109375" style="35" bestFit="1" customWidth="1"/>
    <col min="8712" max="8960" width="9.140625" style="35"/>
    <col min="8961" max="8961" width="37.28515625" style="35" customWidth="1"/>
    <col min="8962" max="8962" width="18.42578125" style="35" bestFit="1" customWidth="1"/>
    <col min="8963" max="8966" width="12.42578125" style="35" bestFit="1" customWidth="1"/>
    <col min="8967" max="8967" width="11.7109375" style="35" bestFit="1" customWidth="1"/>
    <col min="8968" max="9216" width="9.140625" style="35"/>
    <col min="9217" max="9217" width="37.28515625" style="35" customWidth="1"/>
    <col min="9218" max="9218" width="18.42578125" style="35" bestFit="1" customWidth="1"/>
    <col min="9219" max="9222" width="12.42578125" style="35" bestFit="1" customWidth="1"/>
    <col min="9223" max="9223" width="11.7109375" style="35" bestFit="1" customWidth="1"/>
    <col min="9224" max="9472" width="9.140625" style="35"/>
    <col min="9473" max="9473" width="37.28515625" style="35" customWidth="1"/>
    <col min="9474" max="9474" width="18.42578125" style="35" bestFit="1" customWidth="1"/>
    <col min="9475" max="9478" width="12.42578125" style="35" bestFit="1" customWidth="1"/>
    <col min="9479" max="9479" width="11.7109375" style="35" bestFit="1" customWidth="1"/>
    <col min="9480" max="9728" width="9.140625" style="35"/>
    <col min="9729" max="9729" width="37.28515625" style="35" customWidth="1"/>
    <col min="9730" max="9730" width="18.42578125" style="35" bestFit="1" customWidth="1"/>
    <col min="9731" max="9734" width="12.42578125" style="35" bestFit="1" customWidth="1"/>
    <col min="9735" max="9735" width="11.7109375" style="35" bestFit="1" customWidth="1"/>
    <col min="9736" max="9984" width="9.140625" style="35"/>
    <col min="9985" max="9985" width="37.28515625" style="35" customWidth="1"/>
    <col min="9986" max="9986" width="18.42578125" style="35" bestFit="1" customWidth="1"/>
    <col min="9987" max="9990" width="12.42578125" style="35" bestFit="1" customWidth="1"/>
    <col min="9991" max="9991" width="11.7109375" style="35" bestFit="1" customWidth="1"/>
    <col min="9992" max="10240" width="9.140625" style="35"/>
    <col min="10241" max="10241" width="37.28515625" style="35" customWidth="1"/>
    <col min="10242" max="10242" width="18.42578125" style="35" bestFit="1" customWidth="1"/>
    <col min="10243" max="10246" width="12.42578125" style="35" bestFit="1" customWidth="1"/>
    <col min="10247" max="10247" width="11.7109375" style="35" bestFit="1" customWidth="1"/>
    <col min="10248" max="10496" width="9.140625" style="35"/>
    <col min="10497" max="10497" width="37.28515625" style="35" customWidth="1"/>
    <col min="10498" max="10498" width="18.42578125" style="35" bestFit="1" customWidth="1"/>
    <col min="10499" max="10502" width="12.42578125" style="35" bestFit="1" customWidth="1"/>
    <col min="10503" max="10503" width="11.7109375" style="35" bestFit="1" customWidth="1"/>
    <col min="10504" max="10752" width="9.140625" style="35"/>
    <col min="10753" max="10753" width="37.28515625" style="35" customWidth="1"/>
    <col min="10754" max="10754" width="18.42578125" style="35" bestFit="1" customWidth="1"/>
    <col min="10755" max="10758" width="12.42578125" style="35" bestFit="1" customWidth="1"/>
    <col min="10759" max="10759" width="11.7109375" style="35" bestFit="1" customWidth="1"/>
    <col min="10760" max="11008" width="9.140625" style="35"/>
    <col min="11009" max="11009" width="37.28515625" style="35" customWidth="1"/>
    <col min="11010" max="11010" width="18.42578125" style="35" bestFit="1" customWidth="1"/>
    <col min="11011" max="11014" width="12.42578125" style="35" bestFit="1" customWidth="1"/>
    <col min="11015" max="11015" width="11.7109375" style="35" bestFit="1" customWidth="1"/>
    <col min="11016" max="11264" width="9.140625" style="35"/>
    <col min="11265" max="11265" width="37.28515625" style="35" customWidth="1"/>
    <col min="11266" max="11266" width="18.42578125" style="35" bestFit="1" customWidth="1"/>
    <col min="11267" max="11270" width="12.42578125" style="35" bestFit="1" customWidth="1"/>
    <col min="11271" max="11271" width="11.7109375" style="35" bestFit="1" customWidth="1"/>
    <col min="11272" max="11520" width="9.140625" style="35"/>
    <col min="11521" max="11521" width="37.28515625" style="35" customWidth="1"/>
    <col min="11522" max="11522" width="18.42578125" style="35" bestFit="1" customWidth="1"/>
    <col min="11523" max="11526" width="12.42578125" style="35" bestFit="1" customWidth="1"/>
    <col min="11527" max="11527" width="11.7109375" style="35" bestFit="1" customWidth="1"/>
    <col min="11528" max="11776" width="9.140625" style="35"/>
    <col min="11777" max="11777" width="37.28515625" style="35" customWidth="1"/>
    <col min="11778" max="11778" width="18.42578125" style="35" bestFit="1" customWidth="1"/>
    <col min="11779" max="11782" width="12.42578125" style="35" bestFit="1" customWidth="1"/>
    <col min="11783" max="11783" width="11.7109375" style="35" bestFit="1" customWidth="1"/>
    <col min="11784" max="12032" width="9.140625" style="35"/>
    <col min="12033" max="12033" width="37.28515625" style="35" customWidth="1"/>
    <col min="12034" max="12034" width="18.42578125" style="35" bestFit="1" customWidth="1"/>
    <col min="12035" max="12038" width="12.42578125" style="35" bestFit="1" customWidth="1"/>
    <col min="12039" max="12039" width="11.7109375" style="35" bestFit="1" customWidth="1"/>
    <col min="12040" max="12288" width="9.140625" style="35"/>
    <col min="12289" max="12289" width="37.28515625" style="35" customWidth="1"/>
    <col min="12290" max="12290" width="18.42578125" style="35" bestFit="1" customWidth="1"/>
    <col min="12291" max="12294" width="12.42578125" style="35" bestFit="1" customWidth="1"/>
    <col min="12295" max="12295" width="11.7109375" style="35" bestFit="1" customWidth="1"/>
    <col min="12296" max="12544" width="9.140625" style="35"/>
    <col min="12545" max="12545" width="37.28515625" style="35" customWidth="1"/>
    <col min="12546" max="12546" width="18.42578125" style="35" bestFit="1" customWidth="1"/>
    <col min="12547" max="12550" width="12.42578125" style="35" bestFit="1" customWidth="1"/>
    <col min="12551" max="12551" width="11.7109375" style="35" bestFit="1" customWidth="1"/>
    <col min="12552" max="12800" width="9.140625" style="35"/>
    <col min="12801" max="12801" width="37.28515625" style="35" customWidth="1"/>
    <col min="12802" max="12802" width="18.42578125" style="35" bestFit="1" customWidth="1"/>
    <col min="12803" max="12806" width="12.42578125" style="35" bestFit="1" customWidth="1"/>
    <col min="12807" max="12807" width="11.7109375" style="35" bestFit="1" customWidth="1"/>
    <col min="12808" max="13056" width="9.140625" style="35"/>
    <col min="13057" max="13057" width="37.28515625" style="35" customWidth="1"/>
    <col min="13058" max="13058" width="18.42578125" style="35" bestFit="1" customWidth="1"/>
    <col min="13059" max="13062" width="12.42578125" style="35" bestFit="1" customWidth="1"/>
    <col min="13063" max="13063" width="11.7109375" style="35" bestFit="1" customWidth="1"/>
    <col min="13064" max="13312" width="9.140625" style="35"/>
    <col min="13313" max="13313" width="37.28515625" style="35" customWidth="1"/>
    <col min="13314" max="13314" width="18.42578125" style="35" bestFit="1" customWidth="1"/>
    <col min="13315" max="13318" width="12.42578125" style="35" bestFit="1" customWidth="1"/>
    <col min="13319" max="13319" width="11.7109375" style="35" bestFit="1" customWidth="1"/>
    <col min="13320" max="13568" width="9.140625" style="35"/>
    <col min="13569" max="13569" width="37.28515625" style="35" customWidth="1"/>
    <col min="13570" max="13570" width="18.42578125" style="35" bestFit="1" customWidth="1"/>
    <col min="13571" max="13574" width="12.42578125" style="35" bestFit="1" customWidth="1"/>
    <col min="13575" max="13575" width="11.7109375" style="35" bestFit="1" customWidth="1"/>
    <col min="13576" max="13824" width="9.140625" style="35"/>
    <col min="13825" max="13825" width="37.28515625" style="35" customWidth="1"/>
    <col min="13826" max="13826" width="18.42578125" style="35" bestFit="1" customWidth="1"/>
    <col min="13827" max="13830" width="12.42578125" style="35" bestFit="1" customWidth="1"/>
    <col min="13831" max="13831" width="11.7109375" style="35" bestFit="1" customWidth="1"/>
    <col min="13832" max="14080" width="9.140625" style="35"/>
    <col min="14081" max="14081" width="37.28515625" style="35" customWidth="1"/>
    <col min="14082" max="14082" width="18.42578125" style="35" bestFit="1" customWidth="1"/>
    <col min="14083" max="14086" width="12.42578125" style="35" bestFit="1" customWidth="1"/>
    <col min="14087" max="14087" width="11.7109375" style="35" bestFit="1" customWidth="1"/>
    <col min="14088" max="14336" width="9.140625" style="35"/>
    <col min="14337" max="14337" width="37.28515625" style="35" customWidth="1"/>
    <col min="14338" max="14338" width="18.42578125" style="35" bestFit="1" customWidth="1"/>
    <col min="14339" max="14342" width="12.42578125" style="35" bestFit="1" customWidth="1"/>
    <col min="14343" max="14343" width="11.7109375" style="35" bestFit="1" customWidth="1"/>
    <col min="14344" max="14592" width="9.140625" style="35"/>
    <col min="14593" max="14593" width="37.28515625" style="35" customWidth="1"/>
    <col min="14594" max="14594" width="18.42578125" style="35" bestFit="1" customWidth="1"/>
    <col min="14595" max="14598" width="12.42578125" style="35" bestFit="1" customWidth="1"/>
    <col min="14599" max="14599" width="11.7109375" style="35" bestFit="1" customWidth="1"/>
    <col min="14600" max="14848" width="9.140625" style="35"/>
    <col min="14849" max="14849" width="37.28515625" style="35" customWidth="1"/>
    <col min="14850" max="14850" width="18.42578125" style="35" bestFit="1" customWidth="1"/>
    <col min="14851" max="14854" width="12.42578125" style="35" bestFit="1" customWidth="1"/>
    <col min="14855" max="14855" width="11.7109375" style="35" bestFit="1" customWidth="1"/>
    <col min="14856" max="15104" width="9.140625" style="35"/>
    <col min="15105" max="15105" width="37.28515625" style="35" customWidth="1"/>
    <col min="15106" max="15106" width="18.42578125" style="35" bestFit="1" customWidth="1"/>
    <col min="15107" max="15110" width="12.42578125" style="35" bestFit="1" customWidth="1"/>
    <col min="15111" max="15111" width="11.7109375" style="35" bestFit="1" customWidth="1"/>
    <col min="15112" max="15360" width="9.140625" style="35"/>
    <col min="15361" max="15361" width="37.28515625" style="35" customWidth="1"/>
    <col min="15362" max="15362" width="18.42578125" style="35" bestFit="1" customWidth="1"/>
    <col min="15363" max="15366" width="12.42578125" style="35" bestFit="1" customWidth="1"/>
    <col min="15367" max="15367" width="11.7109375" style="35" bestFit="1" customWidth="1"/>
    <col min="15368" max="15616" width="9.140625" style="35"/>
    <col min="15617" max="15617" width="37.28515625" style="35" customWidth="1"/>
    <col min="15618" max="15618" width="18.42578125" style="35" bestFit="1" customWidth="1"/>
    <col min="15619" max="15622" width="12.42578125" style="35" bestFit="1" customWidth="1"/>
    <col min="15623" max="15623" width="11.7109375" style="35" bestFit="1" customWidth="1"/>
    <col min="15624" max="15872" width="9.140625" style="35"/>
    <col min="15873" max="15873" width="37.28515625" style="35" customWidth="1"/>
    <col min="15874" max="15874" width="18.42578125" style="35" bestFit="1" customWidth="1"/>
    <col min="15875" max="15878" width="12.42578125" style="35" bestFit="1" customWidth="1"/>
    <col min="15879" max="15879" width="11.7109375" style="35" bestFit="1" customWidth="1"/>
    <col min="15880" max="16128" width="9.140625" style="35"/>
    <col min="16129" max="16129" width="37.28515625" style="35" customWidth="1"/>
    <col min="16130" max="16130" width="18.42578125" style="35" bestFit="1" customWidth="1"/>
    <col min="16131" max="16134" width="12.42578125" style="35" bestFit="1" customWidth="1"/>
    <col min="16135" max="16135" width="11.7109375" style="35" bestFit="1" customWidth="1"/>
    <col min="16136" max="16384" width="9.140625" style="35"/>
  </cols>
  <sheetData>
    <row r="1" spans="1:18">
      <c r="A1" s="630"/>
      <c r="B1" s="630"/>
      <c r="C1" s="630"/>
      <c r="D1" s="630"/>
      <c r="E1" s="630"/>
      <c r="F1" s="630"/>
    </row>
    <row r="2" spans="1:18" ht="18.75">
      <c r="A2" s="631" t="s">
        <v>524</v>
      </c>
      <c r="B2" s="602"/>
      <c r="C2" s="602"/>
      <c r="D2" s="602"/>
      <c r="E2" s="602"/>
      <c r="F2" s="602"/>
      <c r="G2" s="602"/>
      <c r="H2" s="602"/>
      <c r="I2" s="5"/>
    </row>
    <row r="3" spans="1:18">
      <c r="A3" s="57"/>
      <c r="B3" s="36"/>
      <c r="C3" s="36"/>
      <c r="D3" s="36"/>
      <c r="E3" s="36"/>
      <c r="F3" s="36"/>
    </row>
    <row r="4" spans="1:18">
      <c r="A4" s="81" t="s">
        <v>0</v>
      </c>
      <c r="B4" s="82" t="s">
        <v>2</v>
      </c>
      <c r="C4" s="82" t="s">
        <v>3</v>
      </c>
      <c r="D4" s="82" t="s">
        <v>4</v>
      </c>
      <c r="E4" s="82" t="s">
        <v>5</v>
      </c>
      <c r="F4" s="82" t="s">
        <v>6</v>
      </c>
      <c r="G4" s="83" t="s">
        <v>164</v>
      </c>
      <c r="H4" s="83" t="s">
        <v>163</v>
      </c>
    </row>
    <row r="5" spans="1:18">
      <c r="A5" s="84"/>
      <c r="B5" s="85"/>
      <c r="C5" s="86"/>
      <c r="D5" s="86"/>
      <c r="E5" s="86"/>
      <c r="F5" s="86"/>
      <c r="G5" s="86"/>
      <c r="H5" s="86"/>
    </row>
    <row r="6" spans="1:18">
      <c r="A6" s="87" t="s">
        <v>46</v>
      </c>
      <c r="B6" s="88"/>
      <c r="C6" s="88"/>
      <c r="D6" s="88"/>
      <c r="E6" s="88"/>
      <c r="F6" s="88"/>
      <c r="G6" s="88"/>
      <c r="H6" s="88"/>
    </row>
    <row r="7" spans="1:18">
      <c r="A7" s="89" t="s">
        <v>47</v>
      </c>
      <c r="B7" s="90"/>
      <c r="C7" s="90"/>
      <c r="D7" s="90"/>
      <c r="E7" s="90"/>
      <c r="F7" s="90"/>
      <c r="G7" s="90"/>
      <c r="H7" s="90"/>
    </row>
    <row r="8" spans="1:18">
      <c r="A8" s="91" t="s">
        <v>242</v>
      </c>
      <c r="B8" s="409">
        <f>+'8.Cash Flow '!C35</f>
        <v>16.268405153607659</v>
      </c>
      <c r="C8" s="409">
        <f>+'8.Cash Flow '!D35</f>
        <v>24.48122243471505</v>
      </c>
      <c r="D8" s="409">
        <f>+'8.Cash Flow '!E35</f>
        <v>32.263932848213415</v>
      </c>
      <c r="E8" s="409">
        <f>+'8.Cash Flow '!F35</f>
        <v>39.5182507850256</v>
      </c>
      <c r="F8" s="409">
        <f>+'8.Cash Flow '!G35</f>
        <v>57.093464631748361</v>
      </c>
      <c r="G8" s="409">
        <f>+'8.Cash Flow '!H35</f>
        <v>76.336738821895892</v>
      </c>
      <c r="H8" s="409">
        <f>+'8.Cash Flow '!I35</f>
        <v>96.905561494415906</v>
      </c>
      <c r="J8" s="35">
        <v>17.154377439732798</v>
      </c>
      <c r="K8" s="44">
        <f>+B8-J8</f>
        <v>-0.88597228612513845</v>
      </c>
      <c r="L8" s="44"/>
      <c r="M8" s="44"/>
      <c r="N8" s="44"/>
      <c r="O8" s="44"/>
      <c r="P8" s="44"/>
      <c r="Q8" s="44"/>
      <c r="R8" s="44"/>
    </row>
    <row r="9" spans="1:18">
      <c r="A9" s="92" t="s">
        <v>243</v>
      </c>
      <c r="B9" s="88">
        <f>+'5.Closing Stock &amp; W Capital'!E40</f>
        <v>15.380020833333335</v>
      </c>
      <c r="C9" s="88">
        <f>+'5.Closing Stock &amp; W Capital'!F40</f>
        <v>16.149021874999999</v>
      </c>
      <c r="D9" s="88">
        <f>+'5.Closing Stock &amp; W Capital'!G40</f>
        <v>16.958567326388888</v>
      </c>
      <c r="E9" s="88">
        <f>+'5.Closing Stock &amp; W Capital'!H40</f>
        <v>17.807235805555553</v>
      </c>
      <c r="F9" s="88">
        <f>+'5.Closing Stock &amp; W Capital'!I40</f>
        <v>18.697695026388889</v>
      </c>
      <c r="G9" s="88">
        <f>+'5.Closing Stock &amp; W Capital'!J40</f>
        <v>21.030022898611112</v>
      </c>
      <c r="H9" s="88">
        <f>+'5.Closing Stock &amp; W Capital'!K40</f>
        <v>23.554906299222225</v>
      </c>
      <c r="J9" s="37">
        <v>19.848951581790121</v>
      </c>
      <c r="K9" s="44">
        <f t="shared" ref="K9:K44" si="0">+B9-J9</f>
        <v>-4.4689307484567866</v>
      </c>
      <c r="L9" s="44"/>
      <c r="M9" s="44"/>
      <c r="N9" s="44"/>
      <c r="O9" s="44"/>
      <c r="P9" s="44"/>
      <c r="Q9" s="44"/>
      <c r="R9" s="44"/>
    </row>
    <row r="10" spans="1:18">
      <c r="A10" s="92" t="s">
        <v>561</v>
      </c>
      <c r="B10" s="88"/>
      <c r="C10" s="88"/>
      <c r="D10" s="88"/>
      <c r="E10" s="88"/>
      <c r="F10" s="88"/>
      <c r="G10" s="88"/>
      <c r="H10" s="88"/>
      <c r="K10" s="44">
        <f t="shared" si="0"/>
        <v>0</v>
      </c>
      <c r="L10" s="44"/>
      <c r="M10" s="44"/>
      <c r="N10" s="44"/>
      <c r="O10" s="44"/>
      <c r="P10" s="44"/>
      <c r="Q10" s="44"/>
      <c r="R10" s="44"/>
    </row>
    <row r="11" spans="1:18">
      <c r="A11" s="92" t="s">
        <v>815</v>
      </c>
      <c r="B11" s="88">
        <f>+'5.Closing Stock &amp; W Capital'!E42</f>
        <v>18.9955</v>
      </c>
      <c r="C11" s="88">
        <f>+'5.Closing Stock &amp; W Capital'!F42</f>
        <v>36.060149999999993</v>
      </c>
      <c r="D11" s="88">
        <f>+'5.Closing Stock &amp; W Capital'!G42</f>
        <v>54.790812499999994</v>
      </c>
      <c r="E11" s="88">
        <f>+'5.Closing Stock &amp; W Capital'!H42</f>
        <v>75.302866666666674</v>
      </c>
      <c r="F11" s="88">
        <f>+'5.Closing Stock &amp; W Capital'!I42</f>
        <v>97.726720833333331</v>
      </c>
      <c r="G11" s="88">
        <f>+'5.Closing Stock &amp; W Capital'!J42</f>
        <v>123.60272083333334</v>
      </c>
      <c r="H11" s="88">
        <f>+'5.Closing Stock &amp; W Capital'!K42</f>
        <v>153.29655833333334</v>
      </c>
      <c r="J11" s="35">
        <v>8.1916504629629614</v>
      </c>
      <c r="K11" s="44">
        <f t="shared" si="0"/>
        <v>10.803849537037038</v>
      </c>
      <c r="L11" s="44"/>
      <c r="M11" s="44"/>
      <c r="N11" s="44"/>
      <c r="O11" s="44"/>
      <c r="P11" s="44"/>
      <c r="Q11" s="44"/>
      <c r="R11" s="44"/>
    </row>
    <row r="12" spans="1:18">
      <c r="A12" s="89" t="s">
        <v>244</v>
      </c>
      <c r="B12" s="409">
        <f>SUM(B8:B11)</f>
        <v>50.643925986940992</v>
      </c>
      <c r="C12" s="409">
        <f t="shared" ref="C12:H12" si="1">SUM(C8:C11)</f>
        <v>76.690394309715046</v>
      </c>
      <c r="D12" s="409">
        <f t="shared" si="1"/>
        <v>104.0133126746023</v>
      </c>
      <c r="E12" s="409">
        <f t="shared" si="1"/>
        <v>132.62835325724782</v>
      </c>
      <c r="F12" s="409">
        <f t="shared" si="1"/>
        <v>173.51788049147058</v>
      </c>
      <c r="G12" s="409">
        <f t="shared" si="1"/>
        <v>220.96948255384035</v>
      </c>
      <c r="H12" s="409">
        <f t="shared" si="1"/>
        <v>273.75702612697148</v>
      </c>
      <c r="J12" s="35">
        <v>45.194979484485877</v>
      </c>
      <c r="K12" s="44">
        <f t="shared" si="0"/>
        <v>5.4489465024551151</v>
      </c>
    </row>
    <row r="13" spans="1:18">
      <c r="A13" s="89"/>
      <c r="B13" s="88"/>
      <c r="C13" s="88"/>
      <c r="D13" s="88"/>
      <c r="E13" s="88"/>
      <c r="F13" s="88"/>
      <c r="G13" s="88"/>
      <c r="H13" s="88"/>
      <c r="J13" s="44"/>
      <c r="K13" s="44">
        <f t="shared" si="0"/>
        <v>0</v>
      </c>
      <c r="L13" s="44"/>
      <c r="M13" s="44"/>
      <c r="N13" s="44"/>
      <c r="O13" s="44"/>
      <c r="P13" s="44"/>
      <c r="Q13" s="44"/>
    </row>
    <row r="14" spans="1:18">
      <c r="A14" s="93" t="s">
        <v>245</v>
      </c>
      <c r="B14" s="88">
        <f>'3.Other Exp &amp; Taxes'!C57</f>
        <v>150.71008999999998</v>
      </c>
      <c r="C14" s="88">
        <f>'3.Other Exp &amp; Taxes'!D57</f>
        <v>143.85080690699999</v>
      </c>
      <c r="D14" s="88">
        <f>'3.Other Exp &amp; Taxes'!E57</f>
        <v>136.991523814</v>
      </c>
      <c r="E14" s="88">
        <f>'3.Other Exp &amp; Taxes'!F57</f>
        <v>130.13224072099999</v>
      </c>
      <c r="F14" s="88">
        <f>'3.Other Exp &amp; Taxes'!G57</f>
        <v>123.27295762799999</v>
      </c>
      <c r="G14" s="88">
        <f>'3.Other Exp &amp; Taxes'!H57</f>
        <v>116.41367453499998</v>
      </c>
      <c r="H14" s="88">
        <f>'3.Other Exp &amp; Taxes'!I57</f>
        <v>109.55439144199998</v>
      </c>
      <c r="J14" s="35">
        <v>138.0181</v>
      </c>
      <c r="K14" s="44">
        <f t="shared" si="0"/>
        <v>12.691989999999976</v>
      </c>
    </row>
    <row r="15" spans="1:18">
      <c r="A15" s="93" t="s">
        <v>246</v>
      </c>
      <c r="B15" s="88">
        <f>'3.Other Exp &amp; Taxes'!C58</f>
        <v>6.8592830929999993</v>
      </c>
      <c r="C15" s="88">
        <f>'3.Other Exp &amp; Taxes'!D58</f>
        <v>6.8592830929999993</v>
      </c>
      <c r="D15" s="88">
        <f>'3.Other Exp &amp; Taxes'!E58</f>
        <v>6.8592830929999993</v>
      </c>
      <c r="E15" s="88">
        <f>'3.Other Exp &amp; Taxes'!F58</f>
        <v>6.8592830929999993</v>
      </c>
      <c r="F15" s="88">
        <f>'3.Other Exp &amp; Taxes'!G58</f>
        <v>6.8592830929999993</v>
      </c>
      <c r="G15" s="88">
        <f>'3.Other Exp &amp; Taxes'!H58</f>
        <v>6.8592830929999993</v>
      </c>
      <c r="H15" s="88">
        <f>'3.Other Exp &amp; Taxes'!I58</f>
        <v>6.8592830929999993</v>
      </c>
      <c r="J15" s="35">
        <v>5.2880377300000001</v>
      </c>
      <c r="K15" s="44">
        <f t="shared" si="0"/>
        <v>1.5712453629999992</v>
      </c>
      <c r="L15" s="44"/>
      <c r="M15" s="44"/>
      <c r="N15" s="44"/>
      <c r="O15" s="44"/>
      <c r="P15" s="44"/>
      <c r="Q15" s="44"/>
    </row>
    <row r="16" spans="1:18" s="36" customFormat="1">
      <c r="A16" s="89" t="s">
        <v>191</v>
      </c>
      <c r="B16" s="409">
        <f t="shared" ref="B16:H16" si="2">B14-B15</f>
        <v>143.85080690699999</v>
      </c>
      <c r="C16" s="409">
        <f t="shared" si="2"/>
        <v>136.991523814</v>
      </c>
      <c r="D16" s="409">
        <f t="shared" si="2"/>
        <v>130.13224072100002</v>
      </c>
      <c r="E16" s="409">
        <f t="shared" si="2"/>
        <v>123.27295762799999</v>
      </c>
      <c r="F16" s="409">
        <f t="shared" si="2"/>
        <v>116.41367453499998</v>
      </c>
      <c r="G16" s="409">
        <f t="shared" si="2"/>
        <v>109.55439144199998</v>
      </c>
      <c r="H16" s="409">
        <f t="shared" si="2"/>
        <v>102.69510834899998</v>
      </c>
      <c r="J16" s="36">
        <v>132.73006226999999</v>
      </c>
      <c r="K16" s="44">
        <f t="shared" si="0"/>
        <v>11.120744637000001</v>
      </c>
    </row>
    <row r="17" spans="1:11" s="36" customFormat="1">
      <c r="A17" s="89"/>
      <c r="B17" s="409"/>
      <c r="C17" s="409"/>
      <c r="D17" s="409"/>
      <c r="E17" s="409"/>
      <c r="F17" s="409"/>
      <c r="G17" s="409"/>
      <c r="H17" s="409"/>
      <c r="K17" s="44">
        <f t="shared" si="0"/>
        <v>0</v>
      </c>
    </row>
    <row r="18" spans="1:11" s="36" customFormat="1">
      <c r="A18" s="94" t="s">
        <v>890</v>
      </c>
      <c r="B18" s="409">
        <f>+'6.Cons Profit &amp; Loss'!B57</f>
        <v>13.291528663953303</v>
      </c>
      <c r="C18" s="409">
        <f>+B18+'6.Cons Profit &amp; Loss'!C57</f>
        <v>27.241767957444683</v>
      </c>
      <c r="D18" s="409">
        <f>+C18+'6.Cons Profit &amp; Loss'!D57</f>
        <v>41.942248411474495</v>
      </c>
      <c r="E18" s="409">
        <f>+D18+'6.Cons Profit &amp; Loss'!E57</f>
        <v>57.479788142589776</v>
      </c>
      <c r="F18" s="409">
        <f>+E18+'6.Cons Profit &amp; Loss'!F57</f>
        <v>73.790559896283995</v>
      </c>
      <c r="G18" s="409">
        <f>+F18+'6.Cons Profit &amp; Loss'!G57</f>
        <v>92.528226253599598</v>
      </c>
      <c r="H18" s="409">
        <f>+G18+'6.Cons Profit &amp; Loss'!H57</f>
        <v>113.67881085011491</v>
      </c>
      <c r="K18" s="44">
        <f t="shared" si="0"/>
        <v>13.291528663953303</v>
      </c>
    </row>
    <row r="19" spans="1:11" s="36" customFormat="1">
      <c r="A19" s="89" t="s">
        <v>488</v>
      </c>
      <c r="B19" s="409">
        <f>'8.Cash Flow '!C22-'6.Cons Profit &amp; Loss'!B47</f>
        <v>6.4590038571428563</v>
      </c>
      <c r="C19" s="409">
        <f>B19-'6.Cons Profit &amp; Loss'!C47</f>
        <v>5.3825032142857134</v>
      </c>
      <c r="D19" s="409">
        <f>C19-'6.Cons Profit &amp; Loss'!D47</f>
        <v>4.3060025714285706</v>
      </c>
      <c r="E19" s="409">
        <f>D19-'6.Cons Profit &amp; Loss'!E47</f>
        <v>3.2295019285714277</v>
      </c>
      <c r="F19" s="409">
        <f>E19-'6.Cons Profit &amp; Loss'!F47</f>
        <v>2.1530012857142848</v>
      </c>
      <c r="G19" s="409">
        <f>F19-'6.Cons Profit &amp; Loss'!G47</f>
        <v>1.0765006428571422</v>
      </c>
      <c r="H19" s="409">
        <f>G19-'6.Cons Profit &amp; Loss'!H47</f>
        <v>0</v>
      </c>
      <c r="J19" s="36">
        <v>5.9150614285714296</v>
      </c>
      <c r="K19" s="44">
        <f t="shared" si="0"/>
        <v>0.54394242857142672</v>
      </c>
    </row>
    <row r="20" spans="1:11">
      <c r="A20" s="93"/>
      <c r="B20" s="88"/>
      <c r="C20" s="88"/>
      <c r="D20" s="88"/>
      <c r="E20" s="88"/>
      <c r="F20" s="88"/>
      <c r="G20" s="88"/>
      <c r="H20" s="88"/>
      <c r="K20" s="44">
        <f t="shared" si="0"/>
        <v>0</v>
      </c>
    </row>
    <row r="21" spans="1:11">
      <c r="A21" s="94" t="s">
        <v>248</v>
      </c>
      <c r="B21" s="410">
        <f t="shared" ref="B21:H21" si="3">B12+B16+B18+B19</f>
        <v>214.24526541503712</v>
      </c>
      <c r="C21" s="410">
        <f t="shared" si="3"/>
        <v>246.30618929544545</v>
      </c>
      <c r="D21" s="410">
        <f t="shared" si="3"/>
        <v>280.39380437850537</v>
      </c>
      <c r="E21" s="410">
        <f t="shared" si="3"/>
        <v>316.61060095640903</v>
      </c>
      <c r="F21" s="410">
        <f t="shared" si="3"/>
        <v>365.87511620846885</v>
      </c>
      <c r="G21" s="410">
        <f t="shared" si="3"/>
        <v>424.12860089229707</v>
      </c>
      <c r="H21" s="410">
        <f t="shared" si="3"/>
        <v>490.13094532608636</v>
      </c>
      <c r="J21" s="35">
        <v>183.84010318305729</v>
      </c>
      <c r="K21" s="44">
        <f t="shared" si="0"/>
        <v>30.40516223197983</v>
      </c>
    </row>
    <row r="22" spans="1:11">
      <c r="A22" s="84"/>
      <c r="B22" s="411"/>
      <c r="C22" s="411"/>
      <c r="D22" s="411"/>
      <c r="E22" s="411"/>
      <c r="F22" s="411"/>
      <c r="G22" s="411"/>
      <c r="H22" s="411"/>
      <c r="K22" s="44">
        <f t="shared" si="0"/>
        <v>0</v>
      </c>
    </row>
    <row r="23" spans="1:11">
      <c r="A23" s="87" t="s">
        <v>249</v>
      </c>
      <c r="B23" s="90"/>
      <c r="C23" s="90"/>
      <c r="D23" s="90"/>
      <c r="E23" s="90"/>
      <c r="F23" s="90"/>
      <c r="G23" s="90"/>
      <c r="H23" s="90"/>
      <c r="K23" s="44">
        <f t="shared" si="0"/>
        <v>0</v>
      </c>
    </row>
    <row r="24" spans="1:11">
      <c r="A24" s="89" t="s">
        <v>250</v>
      </c>
      <c r="B24" s="90"/>
      <c r="C24" s="90"/>
      <c r="D24" s="90"/>
      <c r="E24" s="90"/>
      <c r="F24" s="90"/>
      <c r="G24" s="90"/>
      <c r="H24" s="90"/>
      <c r="K24" s="44">
        <f t="shared" si="0"/>
        <v>0</v>
      </c>
    </row>
    <row r="25" spans="1:11">
      <c r="A25" s="92" t="s">
        <v>251</v>
      </c>
      <c r="B25" s="409">
        <f>+'5.Closing Stock &amp; W Capital'!E56</f>
        <v>4.1232024156250002</v>
      </c>
      <c r="C25" s="409">
        <f>+'5.Closing Stock &amp; W Capital'!F56</f>
        <v>16.655344911406246</v>
      </c>
      <c r="D25" s="409">
        <f>+'5.Closing Stock &amp; W Capital'!G56</f>
        <v>30.185068518955728</v>
      </c>
      <c r="E25" s="409">
        <f>+'5.Closing Stock &amp; W Capital'!H56</f>
        <v>45.025296124160022</v>
      </c>
      <c r="F25" s="409">
        <f>+'5.Closing Stock &amp; W Capital'!I56</f>
        <v>61.27529680179353</v>
      </c>
      <c r="G25" s="409">
        <f>+'5.Closing Stock &amp; W Capital'!J56</f>
        <v>79.241747659180959</v>
      </c>
      <c r="H25" s="409">
        <f>+'5.Closing Stock &amp; W Capital'!K56</f>
        <v>99.913480501081239</v>
      </c>
      <c r="J25" s="35">
        <v>7.2281403721064805</v>
      </c>
      <c r="K25" s="44">
        <f t="shared" si="0"/>
        <v>-3.1049379564814803</v>
      </c>
    </row>
    <row r="26" spans="1:11">
      <c r="A26" s="92" t="s">
        <v>252</v>
      </c>
      <c r="B26" s="411">
        <f>+'5.Closing Stock &amp; W Capital'!E54</f>
        <v>28.877917612499999</v>
      </c>
      <c r="C26" s="411">
        <f>+'5.Closing Stock &amp; W Capital'!F54</f>
        <v>30.002045326458333</v>
      </c>
      <c r="D26" s="411">
        <f>+'5.Closing Stock &amp; W Capital'!G54</f>
        <v>31.502621801114586</v>
      </c>
      <c r="E26" s="411">
        <f>+'5.Closing Stock &amp; W Capital'!H54</f>
        <v>33.076374306675525</v>
      </c>
      <c r="F26" s="411">
        <f>+'5.Closing Stock &amp; W Capital'!I54</f>
        <v>34.724020123997505</v>
      </c>
      <c r="G26" s="411">
        <f>+'5.Closing Stock &amp; W Capital'!J54</f>
        <v>38.977080186369847</v>
      </c>
      <c r="H26" s="411">
        <f>+'5.Closing Stock &amp; W Capital'!K54</f>
        <v>43.633490631113908</v>
      </c>
      <c r="J26" s="35">
        <v>18.403081548611109</v>
      </c>
      <c r="K26" s="44">
        <f t="shared" si="0"/>
        <v>10.47483606388889</v>
      </c>
    </row>
    <row r="27" spans="1:11">
      <c r="A27" s="92" t="s">
        <v>253</v>
      </c>
      <c r="B27" s="409"/>
      <c r="C27" s="409"/>
      <c r="D27" s="409"/>
      <c r="E27" s="409"/>
      <c r="F27" s="409"/>
      <c r="G27" s="409"/>
      <c r="H27" s="409"/>
      <c r="K27" s="44">
        <f t="shared" si="0"/>
        <v>0</v>
      </c>
    </row>
    <row r="28" spans="1:11">
      <c r="A28" s="89" t="s">
        <v>254</v>
      </c>
      <c r="B28" s="410">
        <f t="shared" ref="B28:H28" si="4">SUM(B25:B27)</f>
        <v>33.001120028125001</v>
      </c>
      <c r="C28" s="410">
        <f t="shared" si="4"/>
        <v>46.657390237864576</v>
      </c>
      <c r="D28" s="410">
        <f t="shared" si="4"/>
        <v>61.687690320070317</v>
      </c>
      <c r="E28" s="410">
        <f t="shared" si="4"/>
        <v>78.101670430835554</v>
      </c>
      <c r="F28" s="410">
        <f t="shared" si="4"/>
        <v>95.999316925791035</v>
      </c>
      <c r="G28" s="410">
        <f t="shared" si="4"/>
        <v>118.21882784555081</v>
      </c>
      <c r="H28" s="410">
        <f t="shared" si="4"/>
        <v>143.54697113219515</v>
      </c>
      <c r="J28" s="35">
        <v>25.631221920717589</v>
      </c>
      <c r="K28" s="44">
        <f t="shared" si="0"/>
        <v>7.3698981074074119</v>
      </c>
    </row>
    <row r="29" spans="1:11">
      <c r="A29" s="89" t="s">
        <v>255</v>
      </c>
      <c r="B29" s="410">
        <f>'4.TL repayment sch'!G21</f>
        <v>27.71263693563974</v>
      </c>
      <c r="C29" s="410">
        <f>'4.TL repayment sch'!G33</f>
        <v>19.289907349594277</v>
      </c>
      <c r="D29" s="410">
        <f>'4.TL repayment sch'!G45</f>
        <v>10.077067631160292</v>
      </c>
      <c r="E29" s="410">
        <f>'4.TL repayment sch'!G57</f>
        <v>0</v>
      </c>
      <c r="F29" s="410">
        <f>'4.TL repayment sch'!G69</f>
        <v>1.9984014443252818E-15</v>
      </c>
      <c r="G29" s="410">
        <f>'4.TL repayment sch'!G81</f>
        <v>1.9984014443252818E-15</v>
      </c>
      <c r="H29" s="410">
        <f>'[2]Term Loan'!J72+'[2]Term Loan'!S72</f>
        <v>0</v>
      </c>
      <c r="J29" s="35">
        <v>25.378828291103925</v>
      </c>
      <c r="K29" s="44">
        <f t="shared" si="0"/>
        <v>2.3338086445358144</v>
      </c>
    </row>
    <row r="30" spans="1:11">
      <c r="A30" s="89" t="s">
        <v>256</v>
      </c>
      <c r="B30" s="410"/>
      <c r="C30" s="410"/>
      <c r="D30" s="410"/>
      <c r="E30" s="410"/>
      <c r="F30" s="410"/>
      <c r="G30" s="410"/>
      <c r="H30" s="410"/>
      <c r="K30" s="44">
        <f t="shared" si="0"/>
        <v>0</v>
      </c>
    </row>
    <row r="31" spans="1:11">
      <c r="A31" s="89"/>
      <c r="B31" s="412"/>
      <c r="C31" s="412"/>
      <c r="D31" s="412"/>
      <c r="E31" s="412"/>
      <c r="F31" s="412"/>
      <c r="G31" s="412"/>
      <c r="H31" s="412"/>
      <c r="K31" s="44">
        <f t="shared" si="0"/>
        <v>0</v>
      </c>
    </row>
    <row r="32" spans="1:11">
      <c r="A32" s="94" t="s">
        <v>257</v>
      </c>
      <c r="B32" s="410">
        <f t="shared" ref="B32:H32" si="5">SUM(B28:B30)</f>
        <v>60.713756963764737</v>
      </c>
      <c r="C32" s="410">
        <f t="shared" si="5"/>
        <v>65.947297587458849</v>
      </c>
      <c r="D32" s="410">
        <f t="shared" si="5"/>
        <v>71.764757951230607</v>
      </c>
      <c r="E32" s="410">
        <f t="shared" si="5"/>
        <v>78.101670430835554</v>
      </c>
      <c r="F32" s="410">
        <f t="shared" si="5"/>
        <v>95.999316925791035</v>
      </c>
      <c r="G32" s="410">
        <f t="shared" si="5"/>
        <v>118.21882784555081</v>
      </c>
      <c r="H32" s="410">
        <f t="shared" si="5"/>
        <v>143.54697113219515</v>
      </c>
      <c r="J32" s="35">
        <v>51.010050211821515</v>
      </c>
      <c r="K32" s="44">
        <f t="shared" si="0"/>
        <v>9.7037067519432227</v>
      </c>
    </row>
    <row r="33" spans="1:11">
      <c r="A33" s="84"/>
      <c r="B33" s="96"/>
      <c r="C33" s="96"/>
      <c r="D33" s="96"/>
      <c r="E33" s="96"/>
      <c r="F33" s="96"/>
      <c r="G33" s="96"/>
      <c r="H33" s="96"/>
      <c r="K33" s="44">
        <f t="shared" si="0"/>
        <v>0</v>
      </c>
    </row>
    <row r="34" spans="1:11">
      <c r="A34" s="93" t="s">
        <v>258</v>
      </c>
      <c r="B34" s="88">
        <f>'1.Project Cost and MOF'!E21</f>
        <v>33.023519705208308</v>
      </c>
      <c r="C34" s="88">
        <f>B34</f>
        <v>33.023519705208308</v>
      </c>
      <c r="D34" s="88">
        <f t="shared" ref="D34:H35" si="6">C34</f>
        <v>33.023519705208308</v>
      </c>
      <c r="E34" s="88">
        <f t="shared" si="6"/>
        <v>33.023519705208308</v>
      </c>
      <c r="F34" s="88">
        <f t="shared" si="6"/>
        <v>33.023519705208308</v>
      </c>
      <c r="G34" s="88">
        <f t="shared" si="6"/>
        <v>33.023519705208308</v>
      </c>
      <c r="H34" s="88">
        <f t="shared" si="6"/>
        <v>33.023519705208308</v>
      </c>
      <c r="J34" s="35">
        <v>31.393181124035507</v>
      </c>
      <c r="K34" s="44">
        <f t="shared" si="0"/>
        <v>1.6303385811728006</v>
      </c>
    </row>
    <row r="35" spans="1:11">
      <c r="A35" s="93" t="s">
        <v>489</v>
      </c>
      <c r="B35" s="88">
        <f>'1.Project Cost and MOF'!E19</f>
        <v>94.9473567</v>
      </c>
      <c r="C35" s="88">
        <f>B35</f>
        <v>94.9473567</v>
      </c>
      <c r="D35" s="88">
        <f t="shared" si="6"/>
        <v>94.9473567</v>
      </c>
      <c r="E35" s="88">
        <f t="shared" si="6"/>
        <v>94.9473567</v>
      </c>
      <c r="F35" s="88">
        <f t="shared" si="6"/>
        <v>94.9473567</v>
      </c>
      <c r="G35" s="88">
        <f t="shared" si="6"/>
        <v>94.9473567</v>
      </c>
      <c r="H35" s="88">
        <f t="shared" si="6"/>
        <v>94.9473567</v>
      </c>
      <c r="J35" s="35">
        <v>86.951402999999985</v>
      </c>
      <c r="K35" s="44">
        <f t="shared" si="0"/>
        <v>7.9959537000000154</v>
      </c>
    </row>
    <row r="36" spans="1:11">
      <c r="A36" s="89" t="s">
        <v>259</v>
      </c>
      <c r="B36" s="88"/>
      <c r="C36" s="88"/>
      <c r="D36" s="88"/>
      <c r="E36" s="88"/>
      <c r="F36" s="88"/>
      <c r="G36" s="88"/>
      <c r="H36" s="88"/>
      <c r="K36" s="44">
        <f t="shared" si="0"/>
        <v>0</v>
      </c>
    </row>
    <row r="37" spans="1:11">
      <c r="A37" s="93" t="s">
        <v>260</v>
      </c>
      <c r="B37" s="88">
        <v>0</v>
      </c>
      <c r="C37" s="88">
        <f t="shared" ref="C37:H37" si="7">B40</f>
        <v>25.560632046064043</v>
      </c>
      <c r="D37" s="88">
        <f t="shared" si="7"/>
        <v>52.388015302778236</v>
      </c>
      <c r="E37" s="88">
        <f t="shared" si="7"/>
        <v>80.658170022066344</v>
      </c>
      <c r="F37" s="88">
        <f t="shared" si="7"/>
        <v>110.53805412036495</v>
      </c>
      <c r="G37" s="88">
        <f t="shared" si="7"/>
        <v>141.9049228774692</v>
      </c>
      <c r="H37" s="88">
        <f t="shared" si="7"/>
        <v>177.93889664153767</v>
      </c>
      <c r="J37" s="35">
        <v>0</v>
      </c>
      <c r="K37" s="44">
        <f t="shared" si="0"/>
        <v>0</v>
      </c>
    </row>
    <row r="38" spans="1:11">
      <c r="A38" s="93" t="s">
        <v>261</v>
      </c>
      <c r="B38" s="88">
        <f>+'6.Cons Profit &amp; Loss'!B58</f>
        <v>12.269103382110741</v>
      </c>
      <c r="C38" s="88">
        <f>+'6.Cons Profit &amp; Loss'!C58</f>
        <v>12.877143963222812</v>
      </c>
      <c r="D38" s="88">
        <f>+'6.Cons Profit &amp; Loss'!D58</f>
        <v>13.569674265258287</v>
      </c>
      <c r="E38" s="88">
        <f>+'6.Cons Profit &amp; Loss'!E58</f>
        <v>14.342344367183335</v>
      </c>
      <c r="F38" s="88">
        <f>+'6.Cons Profit &amp; Loss'!F58</f>
        <v>15.056097003410045</v>
      </c>
      <c r="G38" s="88">
        <f>+'6.Cons Profit &amp; Loss'!G58</f>
        <v>17.296307406752863</v>
      </c>
      <c r="H38" s="88">
        <f>+'6.Cons Profit &amp; Loss'!H58</f>
        <v>19.523616550629523</v>
      </c>
      <c r="J38" s="35">
        <v>14.485468847200268</v>
      </c>
      <c r="K38" s="44">
        <f t="shared" si="0"/>
        <v>-2.2163654650895275</v>
      </c>
    </row>
    <row r="39" spans="1:11" ht="42.75">
      <c r="A39" s="528" t="str">
        <f>+'6.Cons Profit &amp; Loss'!A57</f>
        <v>Appropriation 43% for Investment reserve ( Distribution of Dividend and Bonus Shares)</v>
      </c>
      <c r="B39" s="88">
        <f>+'6.Cons Profit &amp; Loss'!B57</f>
        <v>13.291528663953303</v>
      </c>
      <c r="C39" s="88">
        <f>+'6.Cons Profit &amp; Loss'!C57</f>
        <v>13.95023929349138</v>
      </c>
      <c r="D39" s="88">
        <f>+'6.Cons Profit &amp; Loss'!D57</f>
        <v>14.700480454029814</v>
      </c>
      <c r="E39" s="88">
        <f>+'6.Cons Profit &amp; Loss'!E57</f>
        <v>15.537539731115279</v>
      </c>
      <c r="F39" s="88">
        <f>+'6.Cons Profit &amp; Loss'!F57</f>
        <v>16.310771753694219</v>
      </c>
      <c r="G39" s="88">
        <f>+'6.Cons Profit &amp; Loss'!G57</f>
        <v>18.7376663573156</v>
      </c>
      <c r="H39" s="88">
        <f>+'6.Cons Profit &amp; Loss'!H57</f>
        <v>21.150584596515319</v>
      </c>
      <c r="K39" s="44">
        <f t="shared" si="0"/>
        <v>13.291528663953303</v>
      </c>
    </row>
    <row r="40" spans="1:11">
      <c r="A40" s="93" t="s">
        <v>262</v>
      </c>
      <c r="B40" s="88">
        <f>B37+B38+B39</f>
        <v>25.560632046064043</v>
      </c>
      <c r="C40" s="88">
        <f t="shared" ref="C40:H40" si="8">C37+C38+C39</f>
        <v>52.388015302778236</v>
      </c>
      <c r="D40" s="88">
        <f t="shared" si="8"/>
        <v>80.658170022066344</v>
      </c>
      <c r="E40" s="88">
        <f t="shared" si="8"/>
        <v>110.53805412036495</v>
      </c>
      <c r="F40" s="88">
        <f t="shared" si="8"/>
        <v>141.9049228774692</v>
      </c>
      <c r="G40" s="88">
        <f t="shared" si="8"/>
        <v>177.93889664153767</v>
      </c>
      <c r="H40" s="88">
        <f t="shared" si="8"/>
        <v>218.61309778868252</v>
      </c>
      <c r="J40" s="35">
        <v>14.485468847200268</v>
      </c>
      <c r="K40" s="44">
        <f t="shared" si="0"/>
        <v>11.075163198863775</v>
      </c>
    </row>
    <row r="41" spans="1:11">
      <c r="A41" s="93"/>
      <c r="B41" s="90"/>
      <c r="C41" s="90"/>
      <c r="D41" s="90"/>
      <c r="E41" s="90"/>
      <c r="F41" s="90"/>
      <c r="G41" s="90"/>
      <c r="H41" s="90"/>
      <c r="K41" s="44">
        <f t="shared" si="0"/>
        <v>0</v>
      </c>
    </row>
    <row r="42" spans="1:11">
      <c r="A42" s="95" t="s">
        <v>263</v>
      </c>
      <c r="B42" s="413">
        <f t="shared" ref="B42:H42" si="9">B34+B40+B35</f>
        <v>153.53150845127234</v>
      </c>
      <c r="C42" s="413">
        <f t="shared" si="9"/>
        <v>180.35889170798654</v>
      </c>
      <c r="D42" s="413">
        <f t="shared" si="9"/>
        <v>208.62904642727466</v>
      </c>
      <c r="E42" s="413">
        <f t="shared" si="9"/>
        <v>238.50893052557325</v>
      </c>
      <c r="F42" s="413">
        <f t="shared" si="9"/>
        <v>269.87579928267752</v>
      </c>
      <c r="G42" s="413">
        <f t="shared" si="9"/>
        <v>305.90977304674595</v>
      </c>
      <c r="H42" s="413">
        <f t="shared" si="9"/>
        <v>346.58397419389087</v>
      </c>
      <c r="J42" s="35">
        <v>132.83005297123577</v>
      </c>
      <c r="K42" s="44">
        <f t="shared" si="0"/>
        <v>20.701455480036572</v>
      </c>
    </row>
    <row r="43" spans="1:11">
      <c r="A43" s="84"/>
      <c r="B43" s="88"/>
      <c r="C43" s="88"/>
      <c r="D43" s="88"/>
      <c r="E43" s="88"/>
      <c r="F43" s="88"/>
      <c r="G43" s="88"/>
      <c r="H43" s="88"/>
      <c r="K43" s="44">
        <f t="shared" si="0"/>
        <v>0</v>
      </c>
    </row>
    <row r="44" spans="1:11">
      <c r="A44" s="94" t="s">
        <v>264</v>
      </c>
      <c r="B44" s="410">
        <f t="shared" ref="B44:H44" si="10">B32+B42</f>
        <v>214.24526541503707</v>
      </c>
      <c r="C44" s="410">
        <f t="shared" si="10"/>
        <v>246.30618929544539</v>
      </c>
      <c r="D44" s="410">
        <f t="shared" si="10"/>
        <v>280.39380437850525</v>
      </c>
      <c r="E44" s="410">
        <f t="shared" si="10"/>
        <v>316.6106009564088</v>
      </c>
      <c r="F44" s="410">
        <f t="shared" si="10"/>
        <v>365.87511620846857</v>
      </c>
      <c r="G44" s="410">
        <f t="shared" si="10"/>
        <v>424.12860089229673</v>
      </c>
      <c r="H44" s="410">
        <f t="shared" si="10"/>
        <v>490.13094532608602</v>
      </c>
      <c r="J44" s="35">
        <v>183.84010318305729</v>
      </c>
      <c r="K44" s="44">
        <f t="shared" si="0"/>
        <v>30.405162231979773</v>
      </c>
    </row>
    <row r="45" spans="1:11">
      <c r="A45" s="84"/>
      <c r="B45" s="96"/>
      <c r="C45" s="96"/>
      <c r="D45" s="96"/>
      <c r="E45" s="96"/>
      <c r="F45" s="96"/>
      <c r="G45" s="96"/>
      <c r="H45" s="96"/>
    </row>
    <row r="46" spans="1:11">
      <c r="A46" s="97" t="s">
        <v>265</v>
      </c>
      <c r="B46" s="98"/>
      <c r="C46" s="98"/>
      <c r="D46" s="98"/>
      <c r="E46" s="98"/>
      <c r="F46" s="98"/>
      <c r="G46" s="98"/>
      <c r="H46" s="98"/>
    </row>
    <row r="47" spans="1:11">
      <c r="A47" s="99" t="s">
        <v>266</v>
      </c>
      <c r="B47" s="100">
        <f t="shared" ref="B47:H47" si="11">B44-B21</f>
        <v>0</v>
      </c>
      <c r="C47" s="100">
        <f t="shared" si="11"/>
        <v>0</v>
      </c>
      <c r="D47" s="100">
        <f t="shared" si="11"/>
        <v>0</v>
      </c>
      <c r="E47" s="100">
        <f t="shared" si="11"/>
        <v>0</v>
      </c>
      <c r="F47" s="100">
        <f t="shared" si="11"/>
        <v>0</v>
      </c>
      <c r="G47" s="100">
        <f t="shared" si="11"/>
        <v>0</v>
      </c>
      <c r="H47" s="100">
        <f t="shared" si="11"/>
        <v>0</v>
      </c>
    </row>
    <row r="48" spans="1:11">
      <c r="A48" s="99"/>
      <c r="B48" s="100"/>
      <c r="C48" s="100"/>
      <c r="D48" s="100"/>
      <c r="E48" s="100"/>
      <c r="F48" s="100"/>
      <c r="G48" s="100"/>
      <c r="H48" s="100"/>
    </row>
    <row r="49" spans="1:9" ht="15.75" thickBot="1">
      <c r="A49" s="101"/>
      <c r="B49" s="102"/>
      <c r="C49" s="102"/>
      <c r="D49" s="102"/>
      <c r="E49" s="102"/>
      <c r="F49" s="102"/>
      <c r="G49" s="102"/>
      <c r="H49" s="102"/>
    </row>
    <row r="50" spans="1:9">
      <c r="B50" s="37"/>
      <c r="C50" s="37"/>
      <c r="D50" s="37"/>
      <c r="E50" s="37"/>
      <c r="F50" s="37"/>
      <c r="G50" s="37"/>
      <c r="H50" s="37"/>
    </row>
    <row r="51" spans="1:9" ht="39.6" customHeight="1">
      <c r="A51" s="632" t="s">
        <v>393</v>
      </c>
      <c r="B51" s="632"/>
      <c r="C51" s="632"/>
      <c r="D51" s="632"/>
      <c r="E51" s="632"/>
      <c r="F51" s="632"/>
      <c r="G51" s="632"/>
      <c r="H51" s="632"/>
      <c r="I51" s="510"/>
    </row>
  </sheetData>
  <mergeCells count="3">
    <mergeCell ref="A1:F1"/>
    <mergeCell ref="A2:H2"/>
    <mergeCell ref="A51:H51"/>
  </mergeCells>
  <conditionalFormatting sqref="B37:F38 B38:H38 B39">
    <cfRule type="cellIs" dxfId="3" priority="4" operator="lessThan">
      <formula>0</formula>
    </cfRule>
  </conditionalFormatting>
  <conditionalFormatting sqref="G37:G38">
    <cfRule type="cellIs" dxfId="2" priority="3" operator="lessThan">
      <formula>0</formula>
    </cfRule>
  </conditionalFormatting>
  <conditionalFormatting sqref="H37:H38">
    <cfRule type="cellIs" dxfId="1" priority="2" operator="lessThan">
      <formula>0</formula>
    </cfRule>
  </conditionalFormatting>
  <conditionalFormatting sqref="C39:H39">
    <cfRule type="cellIs" dxfId="0" priority="1" operator="lessThan">
      <formula>0</formula>
    </cfRule>
  </conditionalFormatting>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view="pageBreakPreview" topLeftCell="E49" zoomScale="160" zoomScaleSheetLayoutView="160" workbookViewId="0">
      <selection activeCell="I36" sqref="A4:I36"/>
    </sheetView>
  </sheetViews>
  <sheetFormatPr defaultRowHeight="15"/>
  <cols>
    <col min="1" max="1" width="3.5703125" bestFit="1" customWidth="1"/>
    <col min="2" max="2" width="35.7109375" bestFit="1" customWidth="1"/>
    <col min="3" max="9" width="12.5703125" customWidth="1"/>
  </cols>
  <sheetData>
    <row r="1" spans="1:11">
      <c r="A1" s="630"/>
      <c r="B1" s="630"/>
      <c r="C1" s="630"/>
      <c r="D1" s="630"/>
      <c r="E1" s="630"/>
      <c r="F1" s="630"/>
      <c r="G1" s="630"/>
    </row>
    <row r="2" spans="1:11" ht="18.75">
      <c r="A2" s="602" t="s">
        <v>525</v>
      </c>
      <c r="B2" s="602"/>
      <c r="C2" s="602"/>
      <c r="D2" s="602"/>
      <c r="E2" s="602"/>
      <c r="F2" s="602"/>
      <c r="G2" s="602"/>
      <c r="H2" s="602"/>
      <c r="I2" s="602"/>
      <c r="J2" s="5"/>
    </row>
    <row r="4" spans="1:11">
      <c r="A4" s="39" t="s">
        <v>223</v>
      </c>
      <c r="B4" s="39" t="s">
        <v>0</v>
      </c>
      <c r="C4" s="40" t="s">
        <v>2</v>
      </c>
      <c r="D4" s="40" t="s">
        <v>3</v>
      </c>
      <c r="E4" s="40" t="s">
        <v>4</v>
      </c>
      <c r="F4" s="40" t="s">
        <v>5</v>
      </c>
      <c r="G4" s="40" t="s">
        <v>6</v>
      </c>
      <c r="H4" s="40" t="s">
        <v>164</v>
      </c>
      <c r="I4" s="40" t="s">
        <v>163</v>
      </c>
    </row>
    <row r="5" spans="1:11">
      <c r="A5" s="27">
        <v>1</v>
      </c>
      <c r="B5" s="27" t="s">
        <v>868</v>
      </c>
      <c r="C5" s="28"/>
      <c r="D5" s="28"/>
      <c r="E5" s="28"/>
      <c r="F5" s="28"/>
      <c r="G5" s="28"/>
      <c r="H5" s="28"/>
      <c r="I5" s="28"/>
    </row>
    <row r="6" spans="1:11">
      <c r="A6" s="27"/>
      <c r="B6" s="29" t="s">
        <v>353</v>
      </c>
      <c r="C6" s="427">
        <f>+'6.Cons Profit &amp; Loss'!B19</f>
        <v>384.46800000000007</v>
      </c>
      <c r="D6" s="427">
        <f>+'6.Cons Profit &amp; Loss'!C19</f>
        <v>404.458775</v>
      </c>
      <c r="E6" s="427">
        <f>+'6.Cons Profit &amp; Loss'!D19</f>
        <v>425.5442783333333</v>
      </c>
      <c r="F6" s="427">
        <f>+'6.Cons Profit &amp; Loss'!E19</f>
        <v>447.68411349999997</v>
      </c>
      <c r="G6" s="427">
        <f>+'6.Cons Profit &amp; Loss'!F19</f>
        <v>470.95733479999996</v>
      </c>
      <c r="H6" s="427">
        <f>+'6.Cons Profit &amp; Loss'!G19</f>
        <v>530.37414956666657</v>
      </c>
      <c r="I6" s="427">
        <f>+'6.Cons Profit &amp; Loss'!H19</f>
        <v>594.77798868133334</v>
      </c>
      <c r="K6" s="310"/>
    </row>
    <row r="7" spans="1:11">
      <c r="A7" s="27">
        <v>2</v>
      </c>
      <c r="B7" s="27" t="s">
        <v>224</v>
      </c>
      <c r="C7" s="427">
        <f>'1.Project Cost and MOF'!E21</f>
        <v>33.023519705208308</v>
      </c>
      <c r="D7" s="427"/>
      <c r="E7" s="427"/>
      <c r="F7" s="427"/>
      <c r="G7" s="427"/>
      <c r="H7" s="427"/>
      <c r="I7" s="427"/>
    </row>
    <row r="8" spans="1:11" ht="48" customHeight="1">
      <c r="A8" s="27"/>
      <c r="B8" s="432" t="str">
        <f>+'7.Balance Sheet'!A39</f>
        <v>Appropriation 43% for Investment reserve ( Distribution of Dividend and Bonus Shares)</v>
      </c>
      <c r="C8" s="427">
        <f>-'6.Cons Profit &amp; Loss'!B57</f>
        <v>-13.291528663953303</v>
      </c>
      <c r="D8" s="427">
        <f>-'6.Cons Profit &amp; Loss'!C57</f>
        <v>-13.95023929349138</v>
      </c>
      <c r="E8" s="427">
        <f>-'6.Cons Profit &amp; Loss'!D57</f>
        <v>-14.700480454029814</v>
      </c>
      <c r="F8" s="427">
        <f>-'6.Cons Profit &amp; Loss'!E57</f>
        <v>-15.537539731115279</v>
      </c>
      <c r="G8" s="427">
        <f>-'6.Cons Profit &amp; Loss'!F57</f>
        <v>-16.310771753694219</v>
      </c>
      <c r="H8" s="427">
        <f>-'6.Cons Profit &amp; Loss'!G57</f>
        <v>-18.7376663573156</v>
      </c>
      <c r="I8" s="427">
        <f>-'6.Cons Profit &amp; Loss'!H57</f>
        <v>-21.150584596515319</v>
      </c>
    </row>
    <row r="9" spans="1:11">
      <c r="A9" s="27">
        <v>3</v>
      </c>
      <c r="B9" s="27" t="str">
        <f>'7.Balance Sheet'!A35</f>
        <v>Smart Grant -in-Aid</v>
      </c>
      <c r="C9" s="427">
        <f>'1.Project Cost and MOF'!E19</f>
        <v>94.9473567</v>
      </c>
      <c r="D9" s="427"/>
      <c r="E9" s="427"/>
      <c r="F9" s="427"/>
      <c r="G9" s="427"/>
      <c r="H9" s="427"/>
      <c r="I9" s="427"/>
    </row>
    <row r="10" spans="1:11">
      <c r="A10" s="27">
        <v>4</v>
      </c>
      <c r="B10" s="27" t="s">
        <v>225</v>
      </c>
      <c r="C10" s="427">
        <f>'1.Project Cost and MOF'!E20</f>
        <v>31.649118899999998</v>
      </c>
      <c r="D10" s="427"/>
      <c r="E10" s="427"/>
      <c r="F10" s="427"/>
      <c r="G10" s="427"/>
      <c r="H10" s="427"/>
      <c r="I10" s="427"/>
    </row>
    <row r="11" spans="1:11">
      <c r="A11" s="27">
        <v>5</v>
      </c>
      <c r="B11" s="27" t="s">
        <v>226</v>
      </c>
      <c r="C11" s="427">
        <f>'5.Closing Stock &amp; W Capital'!E55*75%</f>
        <v>4.1232024156250002</v>
      </c>
      <c r="D11" s="427">
        <f>+'7.Balance Sheet'!C25-'7.Balance Sheet'!B25</f>
        <v>12.532142495781246</v>
      </c>
      <c r="E11" s="427">
        <f>+'7.Balance Sheet'!D25-'7.Balance Sheet'!C25</f>
        <v>13.529723607549482</v>
      </c>
      <c r="F11" s="427">
        <f>+'7.Balance Sheet'!E25-'7.Balance Sheet'!D25</f>
        <v>14.840227605204294</v>
      </c>
      <c r="G11" s="427">
        <f>+'7.Balance Sheet'!F25-'7.Balance Sheet'!E25</f>
        <v>16.250000677633508</v>
      </c>
      <c r="H11" s="427">
        <f>+'7.Balance Sheet'!G25-'7.Balance Sheet'!F25</f>
        <v>17.966450857387429</v>
      </c>
      <c r="I11" s="427">
        <f>+'7.Balance Sheet'!H25-'7.Balance Sheet'!G25</f>
        <v>20.67173284190028</v>
      </c>
    </row>
    <row r="12" spans="1:11">
      <c r="A12" s="27">
        <v>6</v>
      </c>
      <c r="B12" s="27" t="s">
        <v>820</v>
      </c>
      <c r="C12" s="427">
        <f>+'7.Balance Sheet'!B26</f>
        <v>28.877917612499999</v>
      </c>
      <c r="D12" s="427">
        <f>+'7.Balance Sheet'!C26-'7.Balance Sheet'!B26</f>
        <v>1.1241277139583339</v>
      </c>
      <c r="E12" s="427">
        <f>+'7.Balance Sheet'!D26-'7.Balance Sheet'!C26</f>
        <v>1.5005764746562527</v>
      </c>
      <c r="F12" s="427">
        <f>+'7.Balance Sheet'!E26-'7.Balance Sheet'!D26</f>
        <v>1.5737525055609396</v>
      </c>
      <c r="G12" s="427">
        <f>+'7.Balance Sheet'!F26-'7.Balance Sheet'!E26</f>
        <v>1.6476458173219797</v>
      </c>
      <c r="H12" s="427">
        <f>+'7.Balance Sheet'!G26-'7.Balance Sheet'!F26</f>
        <v>4.2530600623723416</v>
      </c>
      <c r="I12" s="427">
        <f>+'7.Balance Sheet'!H26-'7.Balance Sheet'!G26</f>
        <v>4.6564104447440613</v>
      </c>
    </row>
    <row r="13" spans="1:11">
      <c r="A13" s="27">
        <v>7</v>
      </c>
      <c r="B13" s="27" t="s">
        <v>821</v>
      </c>
      <c r="C13" s="427">
        <f>-'7.Balance Sheet'!B11-'7.Balance Sheet'!B9</f>
        <v>-34.375520833333333</v>
      </c>
      <c r="D13" s="427">
        <f>+'7.Balance Sheet'!B9+'7.Balance Sheet'!B11-'7.Balance Sheet'!C9-'7.Balance Sheet'!C11</f>
        <v>-17.833651041666659</v>
      </c>
      <c r="E13" s="427">
        <f>+'7.Balance Sheet'!C9+'7.Balance Sheet'!C11-'7.Balance Sheet'!D9-'7.Balance Sheet'!D11</f>
        <v>-19.540207951388886</v>
      </c>
      <c r="F13" s="427">
        <f>+'7.Balance Sheet'!D9+'7.Balance Sheet'!D11-'7.Balance Sheet'!E9-'7.Balance Sheet'!E11</f>
        <v>-21.360722645833334</v>
      </c>
      <c r="G13" s="427">
        <f>+'7.Balance Sheet'!E9+'7.Balance Sheet'!E11-'7.Balance Sheet'!F9-'7.Balance Sheet'!F11</f>
        <v>-23.314313387499993</v>
      </c>
      <c r="H13" s="427">
        <f>+'7.Balance Sheet'!F9+'7.Balance Sheet'!F11-'7.Balance Sheet'!G9-'7.Balance Sheet'!G11</f>
        <v>-28.208327872222227</v>
      </c>
      <c r="I13" s="427">
        <f>+'7.Balance Sheet'!G9+'7.Balance Sheet'!G11-'7.Balance Sheet'!H9-'7.Balance Sheet'!H11</f>
        <v>-32.218720900611103</v>
      </c>
    </row>
    <row r="14" spans="1:11">
      <c r="A14" s="27"/>
      <c r="B14" s="27" t="s">
        <v>227</v>
      </c>
      <c r="C14" s="428">
        <f>SUM(C6:C13)</f>
        <v>529.42206583604673</v>
      </c>
      <c r="D14" s="428">
        <f t="shared" ref="D14:I14" si="0">SUM(D6:D13)</f>
        <v>386.33115487458156</v>
      </c>
      <c r="E14" s="428">
        <f t="shared" si="0"/>
        <v>406.3338900101204</v>
      </c>
      <c r="F14" s="428">
        <f t="shared" si="0"/>
        <v>427.19983123381661</v>
      </c>
      <c r="G14" s="428">
        <f t="shared" si="0"/>
        <v>449.22989615376127</v>
      </c>
      <c r="H14" s="428">
        <f t="shared" si="0"/>
        <v>505.6476662568885</v>
      </c>
      <c r="I14" s="428">
        <f t="shared" si="0"/>
        <v>566.73682647085138</v>
      </c>
    </row>
    <row r="15" spans="1:11">
      <c r="A15" s="633" t="s">
        <v>228</v>
      </c>
      <c r="B15" s="633"/>
      <c r="C15" s="429"/>
      <c r="D15" s="429"/>
      <c r="E15" s="429"/>
      <c r="F15" s="429"/>
      <c r="G15" s="429"/>
      <c r="H15" s="429"/>
      <c r="I15" s="429"/>
    </row>
    <row r="16" spans="1:11">
      <c r="A16" s="27">
        <v>1</v>
      </c>
      <c r="B16" s="27" t="s">
        <v>229</v>
      </c>
      <c r="C16" s="429"/>
      <c r="D16" s="429"/>
      <c r="E16" s="429"/>
      <c r="F16" s="429"/>
      <c r="G16" s="429"/>
      <c r="H16" s="429"/>
      <c r="I16" s="429"/>
    </row>
    <row r="17" spans="1:18">
      <c r="A17" s="31" t="s">
        <v>230</v>
      </c>
      <c r="B17" s="30" t="str">
        <f>'[2]Total Cost of Project'!C3</f>
        <v>Land and Building</v>
      </c>
      <c r="C17" s="427">
        <f>'1.Project Cost and MOF'!D5</f>
        <v>84.831189999999992</v>
      </c>
      <c r="D17" s="427"/>
      <c r="E17" s="427"/>
      <c r="F17" s="427"/>
      <c r="G17" s="427"/>
      <c r="H17" s="427"/>
      <c r="I17" s="427"/>
    </row>
    <row r="18" spans="1:18">
      <c r="A18" s="31" t="s">
        <v>231</v>
      </c>
      <c r="B18" s="32" t="str">
        <f>'[2]Total Cost of Project'!C4</f>
        <v>Machinery and Equipment</v>
      </c>
      <c r="C18" s="427">
        <f>'1.Project Cost and MOF'!D6</f>
        <v>65.878900000000002</v>
      </c>
      <c r="D18" s="427"/>
      <c r="E18" s="427"/>
      <c r="F18" s="427"/>
      <c r="G18" s="427"/>
      <c r="H18" s="427"/>
      <c r="I18" s="427"/>
    </row>
    <row r="19" spans="1:18">
      <c r="A19" s="31" t="s">
        <v>267</v>
      </c>
      <c r="B19" s="32" t="s">
        <v>319</v>
      </c>
      <c r="C19" s="427">
        <f>'1.Project Cost and MOF'!D7</f>
        <v>0</v>
      </c>
      <c r="D19" s="427"/>
      <c r="E19" s="427"/>
      <c r="F19" s="427"/>
      <c r="G19" s="427"/>
      <c r="H19" s="427"/>
      <c r="I19" s="427"/>
    </row>
    <row r="20" spans="1:18">
      <c r="A20" s="31" t="s">
        <v>269</v>
      </c>
      <c r="B20" s="32" t="s">
        <v>321</v>
      </c>
      <c r="C20" s="427">
        <f>'1.Project Cost and MOF'!D8</f>
        <v>0</v>
      </c>
      <c r="D20" s="427"/>
      <c r="E20" s="427"/>
      <c r="F20" s="427"/>
      <c r="G20" s="427"/>
      <c r="H20" s="427"/>
      <c r="I20" s="427"/>
    </row>
    <row r="21" spans="1:18">
      <c r="A21" s="31" t="s">
        <v>322</v>
      </c>
      <c r="B21" s="32" t="s">
        <v>268</v>
      </c>
      <c r="C21" s="427">
        <f>'1.Project Cost and MOF'!D9</f>
        <v>0</v>
      </c>
      <c r="D21" s="427"/>
      <c r="E21" s="427"/>
      <c r="F21" s="427"/>
      <c r="G21" s="427"/>
      <c r="H21" s="427"/>
      <c r="I21" s="427"/>
    </row>
    <row r="22" spans="1:18">
      <c r="A22" s="31" t="s">
        <v>323</v>
      </c>
      <c r="B22" s="32" t="s">
        <v>270</v>
      </c>
      <c r="C22" s="427">
        <f>'1.Project Cost and MOF'!D10</f>
        <v>7.5355044999999992</v>
      </c>
      <c r="D22" s="427"/>
      <c r="E22" s="427"/>
      <c r="F22" s="427"/>
      <c r="G22" s="427"/>
      <c r="H22" s="427"/>
      <c r="I22" s="427"/>
    </row>
    <row r="23" spans="1:18">
      <c r="A23" s="27">
        <v>2</v>
      </c>
      <c r="B23" s="27" t="s">
        <v>232</v>
      </c>
      <c r="C23" s="429"/>
      <c r="D23" s="429"/>
      <c r="E23" s="429"/>
      <c r="F23" s="429"/>
      <c r="G23" s="429"/>
      <c r="H23" s="429"/>
      <c r="I23" s="429"/>
    </row>
    <row r="24" spans="1:18">
      <c r="A24" s="31" t="s">
        <v>230</v>
      </c>
      <c r="B24" s="30" t="s">
        <v>302</v>
      </c>
      <c r="C24" s="430">
        <f>'6.Cons Profit &amp; Loss'!B29</f>
        <v>331.98635999999999</v>
      </c>
      <c r="D24" s="430">
        <f>'6.Cons Profit &amp; Loss'!C29</f>
        <v>348.39796000000007</v>
      </c>
      <c r="E24" s="430">
        <f>'6.Cons Profit &amp; Loss'!D29</f>
        <v>365.79436000000004</v>
      </c>
      <c r="F24" s="430">
        <f>'6.Cons Profit &amp; Loss'!E29</f>
        <v>384.00076000000007</v>
      </c>
      <c r="G24" s="430">
        <f>'6.Cons Profit &amp; Loss'!F29</f>
        <v>403.00716000000006</v>
      </c>
      <c r="H24" s="430">
        <f>'6.Cons Profit &amp; Loss'!G29</f>
        <v>453.15870000000001</v>
      </c>
      <c r="I24" s="430">
        <f>'6.Cons Profit &amp; Loss'!H29</f>
        <v>507.97823999999991</v>
      </c>
      <c r="K24" s="310">
        <f t="shared" ref="K24:R24" si="1">+C6-C24-C25</f>
        <v>41.580988650000087</v>
      </c>
      <c r="L24" s="310">
        <f t="shared" si="1"/>
        <v>44.616631082499936</v>
      </c>
      <c r="M24" s="310">
        <f t="shared" si="1"/>
        <v>47.704816719958259</v>
      </c>
      <c r="N24" s="310">
        <f t="shared" si="1"/>
        <v>50.969221819893647</v>
      </c>
      <c r="O24" s="310">
        <f t="shared" si="1"/>
        <v>54.480293312029922</v>
      </c>
      <c r="P24" s="310">
        <f t="shared" si="1"/>
        <v>62.871587330228394</v>
      </c>
      <c r="Q24" s="310">
        <f t="shared" si="1"/>
        <v>71.409701107966555</v>
      </c>
      <c r="R24" s="310">
        <f t="shared" si="1"/>
        <v>0</v>
      </c>
    </row>
    <row r="25" spans="1:18">
      <c r="A25" s="31" t="s">
        <v>231</v>
      </c>
      <c r="B25" s="30" t="s">
        <v>300</v>
      </c>
      <c r="C25" s="427">
        <f>'6.Cons Profit &amp; Loss'!B40</f>
        <v>10.900651349999999</v>
      </c>
      <c r="D25" s="427">
        <f>'6.Cons Profit &amp; Loss'!C40</f>
        <v>11.444183917500002</v>
      </c>
      <c r="E25" s="427">
        <f>'6.Cons Profit &amp; Loss'!D40</f>
        <v>12.045101613375</v>
      </c>
      <c r="F25" s="427">
        <f>'6.Cons Profit &amp; Loss'!E40</f>
        <v>12.714131680106252</v>
      </c>
      <c r="G25" s="427">
        <f>'6.Cons Profit &amp; Loss'!F40</f>
        <v>13.469881487969978</v>
      </c>
      <c r="H25" s="427">
        <f>'6.Cons Profit &amp; Loss'!G40</f>
        <v>14.343862236438166</v>
      </c>
      <c r="I25" s="427">
        <f>'6.Cons Profit &amp; Loss'!H40</f>
        <v>15.390047573366877</v>
      </c>
    </row>
    <row r="26" spans="1:18">
      <c r="A26" s="33">
        <v>3</v>
      </c>
      <c r="B26" s="27" t="s">
        <v>487</v>
      </c>
      <c r="C26" s="427"/>
      <c r="D26" s="427"/>
      <c r="E26" s="427"/>
      <c r="F26" s="427"/>
      <c r="G26" s="427"/>
      <c r="H26" s="427"/>
      <c r="I26" s="427"/>
    </row>
    <row r="27" spans="1:18">
      <c r="A27" s="31"/>
      <c r="B27" s="30" t="s">
        <v>233</v>
      </c>
      <c r="C27" s="427">
        <f>SUM('4.TL repayment sch'!E10:E21)</f>
        <v>3.9364819643602584</v>
      </c>
      <c r="D27" s="427">
        <f>SUM('4.TL repayment sch'!E22:E33)</f>
        <v>8.4227295860454596</v>
      </c>
      <c r="E27" s="427">
        <f>SUM('4.TL repayment sch'!E34:E45)</f>
        <v>9.2128397184339867</v>
      </c>
      <c r="F27" s="427">
        <f>SUM('4.TL repayment sch'!E46:E57)</f>
        <v>10.077067631160292</v>
      </c>
      <c r="G27" s="427">
        <f>SUM('4.TL repayment sch'!E58:E69)</f>
        <v>2.3980817331903381E-14</v>
      </c>
      <c r="H27" s="427">
        <f>SUM('4.TL repayment sch'!E70:E81)</f>
        <v>2.3980817331903381E-14</v>
      </c>
      <c r="I27" s="427">
        <f>SUM('4.TL repayment sch'!E82:E93)</f>
        <v>2.3980817331903381E-14</v>
      </c>
    </row>
    <row r="28" spans="1:18">
      <c r="A28" s="31"/>
      <c r="B28" s="30" t="s">
        <v>234</v>
      </c>
      <c r="C28" s="427">
        <f>SUM('4.TL repayment sch'!D10:D21)</f>
        <v>2.7752550612717903</v>
      </c>
      <c r="D28" s="427">
        <f>SUM('4.TL repayment sch'!D22:D33)</f>
        <v>2.1523237642186404</v>
      </c>
      <c r="E28" s="427">
        <f>SUM('4.TL repayment sch'!D34:D45)</f>
        <v>1.3622136318301119</v>
      </c>
      <c r="F28" s="427">
        <f>SUM('4.TL repayment sch'!D46:D57)</f>
        <v>0.49798571910380662</v>
      </c>
      <c r="G28" s="427">
        <f>SUM('4.TL repayment sch'!D58:D69)</f>
        <v>2.3980817331903381E-14</v>
      </c>
      <c r="H28" s="427">
        <f>SUM('4.TL repayment sch'!D70:D81)</f>
        <v>2.3980817331903381E-14</v>
      </c>
      <c r="I28" s="427">
        <f>SUM('4.TL repayment sch'!D82:D93)</f>
        <v>2.3980817331903381E-14</v>
      </c>
    </row>
    <row r="29" spans="1:18">
      <c r="A29" s="31"/>
      <c r="B29" s="30" t="s">
        <v>235</v>
      </c>
      <c r="C29" s="427">
        <v>0</v>
      </c>
      <c r="D29" s="427">
        <v>0</v>
      </c>
      <c r="E29" s="427">
        <v>0</v>
      </c>
      <c r="F29" s="427">
        <v>0</v>
      </c>
      <c r="G29" s="427">
        <v>0</v>
      </c>
      <c r="H29" s="427">
        <v>0</v>
      </c>
      <c r="I29" s="427">
        <v>0</v>
      </c>
    </row>
    <row r="30" spans="1:18">
      <c r="A30" s="31"/>
      <c r="B30" s="30" t="s">
        <v>236</v>
      </c>
      <c r="C30" s="427">
        <f>+'6.Cons Profit &amp; Loss'!B52</f>
        <v>0.37108821740625003</v>
      </c>
      <c r="D30" s="431">
        <f>+'6.Cons Profit &amp; Loss'!C52</f>
        <v>1.4989810420265621</v>
      </c>
      <c r="E30" s="431">
        <f>+'6.Cons Profit &amp; Loss'!D52</f>
        <v>2.7166561667060152</v>
      </c>
      <c r="F30" s="431">
        <f>+'6.Cons Profit &amp; Loss'!E52</f>
        <v>4.0522766511744015</v>
      </c>
      <c r="G30" s="431">
        <f>+'6.Cons Profit &amp; Loss'!F52</f>
        <v>5.5147767121614173</v>
      </c>
      <c r="H30" s="431">
        <f>+'6.Cons Profit &amp; Loss'!G52</f>
        <v>7.1317572893262859</v>
      </c>
      <c r="I30" s="431">
        <f>+'6.Cons Profit &amp; Loss'!H52</f>
        <v>8.9922132450973109</v>
      </c>
    </row>
    <row r="31" spans="1:18">
      <c r="A31" s="27">
        <v>4</v>
      </c>
      <c r="B31" s="27" t="s">
        <v>237</v>
      </c>
      <c r="C31" s="427">
        <f>+'6.Cons Profit &amp; Loss'!B55</f>
        <v>4.9382295894008816</v>
      </c>
      <c r="D31" s="427">
        <f>+'6.Cons Profit &amp; Loss'!C55</f>
        <v>6.2021592836833666</v>
      </c>
      <c r="E31" s="427">
        <f>+'6.Cons Profit &amp; Loss'!D55</f>
        <v>7.4200084662769026</v>
      </c>
      <c r="F31" s="427">
        <f>+'6.Cons Profit &amp; Loss'!E55</f>
        <v>8.6032916154596499</v>
      </c>
      <c r="G31" s="427">
        <f>+'6.Cons Profit &amp; Loss'!F55</f>
        <v>9.6628641069070742</v>
      </c>
      <c r="H31" s="427">
        <f>+'6.Cons Profit &amp; Loss'!G55</f>
        <v>11.770072540976496</v>
      </c>
      <c r="I31" s="427">
        <f>+'6.Cons Profit &amp; Loss'!H55</f>
        <v>13.807502979867182</v>
      </c>
    </row>
    <row r="32" spans="1:18">
      <c r="A32" s="27"/>
      <c r="B32" s="27" t="s">
        <v>238</v>
      </c>
      <c r="C32" s="432">
        <f t="shared" ref="C32:I32" si="2">SUM(C17:C31)</f>
        <v>513.15366068243907</v>
      </c>
      <c r="D32" s="432">
        <f t="shared" si="2"/>
        <v>378.11833759347417</v>
      </c>
      <c r="E32" s="432">
        <f t="shared" si="2"/>
        <v>398.55117959662203</v>
      </c>
      <c r="F32" s="432">
        <f t="shared" si="2"/>
        <v>419.94551329700442</v>
      </c>
      <c r="G32" s="432">
        <f t="shared" si="2"/>
        <v>431.65468230703851</v>
      </c>
      <c r="H32" s="432">
        <f t="shared" si="2"/>
        <v>486.40439206674097</v>
      </c>
      <c r="I32" s="432">
        <f t="shared" si="2"/>
        <v>546.16800379833137</v>
      </c>
    </row>
    <row r="33" spans="1:10">
      <c r="A33" s="27"/>
      <c r="B33" s="27" t="s">
        <v>239</v>
      </c>
      <c r="C33" s="432">
        <f t="shared" ref="C33:I33" si="3">C14-C32</f>
        <v>16.268405153607659</v>
      </c>
      <c r="D33" s="432">
        <f t="shared" si="3"/>
        <v>8.212817281107391</v>
      </c>
      <c r="E33" s="432">
        <f t="shared" si="3"/>
        <v>7.7827104134983642</v>
      </c>
      <c r="F33" s="432">
        <f t="shared" si="3"/>
        <v>7.2543179368121855</v>
      </c>
      <c r="G33" s="432">
        <f t="shared" si="3"/>
        <v>17.575213846722761</v>
      </c>
      <c r="H33" s="432">
        <f t="shared" si="3"/>
        <v>19.243274190147531</v>
      </c>
      <c r="I33" s="432">
        <f t="shared" si="3"/>
        <v>20.568822672520014</v>
      </c>
    </row>
    <row r="34" spans="1:10">
      <c r="A34" s="33"/>
      <c r="B34" s="30" t="s">
        <v>240</v>
      </c>
      <c r="C34" s="429"/>
      <c r="D34" s="429">
        <f t="shared" ref="D34:I34" si="4">C35</f>
        <v>16.268405153607659</v>
      </c>
      <c r="E34" s="429">
        <f t="shared" si="4"/>
        <v>24.48122243471505</v>
      </c>
      <c r="F34" s="429">
        <f t="shared" si="4"/>
        <v>32.263932848213415</v>
      </c>
      <c r="G34" s="429">
        <f t="shared" si="4"/>
        <v>39.5182507850256</v>
      </c>
      <c r="H34" s="429">
        <f t="shared" si="4"/>
        <v>57.093464631748361</v>
      </c>
      <c r="I34" s="429">
        <f t="shared" si="4"/>
        <v>76.336738821895892</v>
      </c>
    </row>
    <row r="35" spans="1:10">
      <c r="A35" s="27"/>
      <c r="B35" s="34" t="s">
        <v>241</v>
      </c>
      <c r="C35" s="432">
        <f t="shared" ref="C35:I35" si="5">C33+C34</f>
        <v>16.268405153607659</v>
      </c>
      <c r="D35" s="432">
        <f t="shared" si="5"/>
        <v>24.48122243471505</v>
      </c>
      <c r="E35" s="432">
        <f t="shared" si="5"/>
        <v>32.263932848213415</v>
      </c>
      <c r="F35" s="432">
        <f t="shared" si="5"/>
        <v>39.5182507850256</v>
      </c>
      <c r="G35" s="432">
        <f t="shared" si="5"/>
        <v>57.093464631748361</v>
      </c>
      <c r="H35" s="432">
        <f t="shared" si="5"/>
        <v>76.336738821895892</v>
      </c>
      <c r="I35" s="432">
        <f t="shared" si="5"/>
        <v>96.905561494415906</v>
      </c>
    </row>
    <row r="36" spans="1:10">
      <c r="A36" s="121"/>
      <c r="B36" s="449"/>
      <c r="C36" s="450">
        <f>+'7.Balance Sheet'!B8</f>
        <v>16.268405153607659</v>
      </c>
      <c r="D36" s="450">
        <f>+'7.Balance Sheet'!C8</f>
        <v>24.48122243471505</v>
      </c>
      <c r="E36" s="450">
        <f>+'7.Balance Sheet'!D8</f>
        <v>32.263932848213415</v>
      </c>
      <c r="F36" s="450">
        <f>+'7.Balance Sheet'!E8</f>
        <v>39.5182507850256</v>
      </c>
      <c r="G36" s="450">
        <f>+'7.Balance Sheet'!F8</f>
        <v>57.093464631748361</v>
      </c>
      <c r="H36" s="450">
        <f>+'7.Balance Sheet'!G8</f>
        <v>76.336738821895892</v>
      </c>
      <c r="I36" s="450">
        <f>+'7.Balance Sheet'!H8</f>
        <v>96.905561494415906</v>
      </c>
    </row>
    <row r="37" spans="1:10">
      <c r="C37" s="310">
        <f>+C35-C36</f>
        <v>0</v>
      </c>
      <c r="D37" s="310">
        <f t="shared" ref="D37:I37" si="6">+D35-D36</f>
        <v>0</v>
      </c>
      <c r="E37" s="310">
        <f t="shared" si="6"/>
        <v>0</v>
      </c>
      <c r="F37" s="310">
        <f t="shared" si="6"/>
        <v>0</v>
      </c>
      <c r="G37" s="310">
        <f t="shared" si="6"/>
        <v>0</v>
      </c>
      <c r="H37" s="310">
        <f t="shared" si="6"/>
        <v>0</v>
      </c>
      <c r="I37" s="310">
        <f t="shared" si="6"/>
        <v>0</v>
      </c>
    </row>
    <row r="38" spans="1:10" ht="39.950000000000003" customHeight="1">
      <c r="A38" s="634" t="s">
        <v>394</v>
      </c>
      <c r="B38" s="634"/>
      <c r="C38" s="634"/>
      <c r="D38" s="634"/>
      <c r="E38" s="634"/>
      <c r="F38" s="634"/>
      <c r="G38" s="634"/>
      <c r="H38" s="634"/>
      <c r="I38" s="634"/>
      <c r="J38" s="511"/>
    </row>
    <row r="40" spans="1:10">
      <c r="C40" s="43"/>
    </row>
    <row r="41" spans="1:10">
      <c r="C41" s="43"/>
    </row>
    <row r="42" spans="1:10">
      <c r="C42" s="43"/>
    </row>
    <row r="43" spans="1:10">
      <c r="C43" s="43"/>
    </row>
    <row r="44" spans="1:10">
      <c r="C44" s="43"/>
    </row>
  </sheetData>
  <mergeCells count="4">
    <mergeCell ref="A1:G1"/>
    <mergeCell ref="A15:B15"/>
    <mergeCell ref="A2:I2"/>
    <mergeCell ref="A38:I38"/>
  </mergeCells>
  <pageMargins left="0.7" right="0.7" top="0.75" bottom="0.75" header="0.3" footer="0.3"/>
  <pageSetup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6"/>
  <sheetViews>
    <sheetView view="pageBreakPreview" topLeftCell="A81" zoomScale="70" zoomScaleSheetLayoutView="70" workbookViewId="0">
      <selection activeCell="H91" sqref="B87:H91"/>
    </sheetView>
  </sheetViews>
  <sheetFormatPr defaultRowHeight="15"/>
  <cols>
    <col min="1" max="1" width="30.140625" customWidth="1"/>
    <col min="2" max="2" width="11.140625" customWidth="1"/>
    <col min="3" max="9" width="11.140625" style="15" customWidth="1"/>
    <col min="10" max="10" width="14.7109375" customWidth="1"/>
    <col min="11" max="11" width="14.85546875" style="15" customWidth="1"/>
    <col min="12" max="13" width="11.7109375" style="15" bestFit="1" customWidth="1"/>
    <col min="14" max="16" width="10.5703125" style="15" bestFit="1" customWidth="1"/>
    <col min="17" max="17" width="17.28515625" style="15" bestFit="1" customWidth="1"/>
    <col min="18" max="18" width="9.140625" style="15"/>
  </cols>
  <sheetData>
    <row r="2" spans="1:17" ht="18.75">
      <c r="A2" s="602" t="s">
        <v>517</v>
      </c>
      <c r="B2" s="602"/>
      <c r="C2" s="602"/>
      <c r="D2" s="602"/>
      <c r="E2" s="602"/>
      <c r="F2" s="602"/>
      <c r="G2" s="602"/>
      <c r="H2" s="602"/>
      <c r="I2" s="602"/>
      <c r="J2" s="144"/>
      <c r="K2" s="144"/>
    </row>
    <row r="3" spans="1:17">
      <c r="C3" s="381">
        <v>1</v>
      </c>
      <c r="D3" s="381">
        <v>1.05</v>
      </c>
      <c r="E3" s="381">
        <f>+D3*1.05</f>
        <v>1.1025</v>
      </c>
      <c r="F3" s="381">
        <f t="shared" ref="F3:I3" si="0">+E3*1.05</f>
        <v>1.1576250000000001</v>
      </c>
      <c r="G3" s="381">
        <f t="shared" si="0"/>
        <v>1.2155062500000002</v>
      </c>
      <c r="H3" s="381">
        <f t="shared" si="0"/>
        <v>1.2762815625000004</v>
      </c>
      <c r="I3" s="381">
        <f t="shared" si="0"/>
        <v>1.3400956406250004</v>
      </c>
    </row>
    <row r="4" spans="1:17">
      <c r="A4" s="116" t="s">
        <v>0</v>
      </c>
      <c r="B4" s="103" t="s">
        <v>735</v>
      </c>
      <c r="C4" s="384" t="s">
        <v>2</v>
      </c>
      <c r="D4" s="384" t="s">
        <v>3</v>
      </c>
      <c r="E4" s="384" t="s">
        <v>4</v>
      </c>
      <c r="F4" s="384" t="s">
        <v>5</v>
      </c>
      <c r="G4" s="384" t="s">
        <v>6</v>
      </c>
      <c r="H4" s="384" t="s">
        <v>164</v>
      </c>
      <c r="I4" s="384" t="s">
        <v>163</v>
      </c>
      <c r="J4" s="433"/>
      <c r="K4" s="434"/>
      <c r="L4" s="434"/>
      <c r="M4" s="434"/>
      <c r="N4" s="434"/>
      <c r="O4" s="434"/>
      <c r="P4" s="434"/>
      <c r="Q4" s="434"/>
    </row>
    <row r="5" spans="1:17">
      <c r="A5" s="242" t="s">
        <v>703</v>
      </c>
      <c r="B5" s="312"/>
      <c r="C5" s="382"/>
      <c r="D5" s="382"/>
      <c r="E5" s="382"/>
      <c r="F5" s="382"/>
      <c r="G5" s="382"/>
      <c r="H5" s="382"/>
      <c r="I5" s="382"/>
      <c r="J5" s="315"/>
      <c r="K5" s="401"/>
      <c r="L5" s="401"/>
    </row>
    <row r="6" spans="1:17">
      <c r="A6" s="114" t="s">
        <v>704</v>
      </c>
      <c r="B6" s="114" t="s">
        <v>705</v>
      </c>
      <c r="C6" s="387">
        <f>2000*12/100000</f>
        <v>0.24</v>
      </c>
      <c r="D6" s="387">
        <f t="shared" ref="D6:I6" si="1">+$C$6*D3</f>
        <v>0.252</v>
      </c>
      <c r="E6" s="387">
        <f t="shared" si="1"/>
        <v>0.2646</v>
      </c>
      <c r="F6" s="387">
        <f t="shared" si="1"/>
        <v>0.27783000000000002</v>
      </c>
      <c r="G6" s="387">
        <f t="shared" si="1"/>
        <v>0.29172150000000002</v>
      </c>
      <c r="H6" s="387">
        <f t="shared" si="1"/>
        <v>0.30630757500000005</v>
      </c>
      <c r="I6" s="387">
        <f t="shared" si="1"/>
        <v>0.32162295375000011</v>
      </c>
      <c r="J6" s="318"/>
      <c r="K6" s="402"/>
      <c r="L6" s="402"/>
    </row>
    <row r="7" spans="1:17">
      <c r="A7" s="114" t="s">
        <v>706</v>
      </c>
      <c r="B7" s="114" t="s">
        <v>707</v>
      </c>
      <c r="C7" s="387">
        <f>1000*12/100000</f>
        <v>0.12</v>
      </c>
      <c r="D7" s="387">
        <f t="shared" ref="D7:I7" si="2">+$C$7*D3</f>
        <v>0.126</v>
      </c>
      <c r="E7" s="387">
        <f t="shared" si="2"/>
        <v>0.1323</v>
      </c>
      <c r="F7" s="387">
        <f t="shared" si="2"/>
        <v>0.13891500000000001</v>
      </c>
      <c r="G7" s="387">
        <f t="shared" si="2"/>
        <v>0.14586075000000001</v>
      </c>
      <c r="H7" s="387">
        <f t="shared" si="2"/>
        <v>0.15315378750000003</v>
      </c>
      <c r="I7" s="387">
        <f t="shared" si="2"/>
        <v>0.16081147687500005</v>
      </c>
      <c r="J7" s="318"/>
      <c r="K7" s="402"/>
      <c r="L7" s="402"/>
    </row>
    <row r="8" spans="1:17">
      <c r="A8" s="114" t="s">
        <v>708</v>
      </c>
      <c r="B8" s="114" t="s">
        <v>709</v>
      </c>
      <c r="C8" s="387">
        <v>0.03</v>
      </c>
      <c r="D8" s="387">
        <f>C8</f>
        <v>0.03</v>
      </c>
      <c r="E8" s="387">
        <f t="shared" ref="E8:I8" si="3">D8</f>
        <v>0.03</v>
      </c>
      <c r="F8" s="387">
        <f t="shared" si="3"/>
        <v>0.03</v>
      </c>
      <c r="G8" s="387">
        <f t="shared" si="3"/>
        <v>0.03</v>
      </c>
      <c r="H8" s="387">
        <f t="shared" si="3"/>
        <v>0.03</v>
      </c>
      <c r="I8" s="387">
        <f t="shared" si="3"/>
        <v>0.03</v>
      </c>
      <c r="J8" s="318"/>
      <c r="K8" s="402"/>
      <c r="L8" s="402"/>
    </row>
    <row r="9" spans="1:17">
      <c r="A9" s="114" t="s">
        <v>710</v>
      </c>
      <c r="B9" s="114" t="s">
        <v>711</v>
      </c>
      <c r="C9" s="387">
        <v>0.15</v>
      </c>
      <c r="D9" s="387">
        <f t="shared" ref="D9:I9" si="4">+$C$9*D3</f>
        <v>0.1575</v>
      </c>
      <c r="E9" s="387">
        <f t="shared" si="4"/>
        <v>0.16537499999999999</v>
      </c>
      <c r="F9" s="387">
        <f t="shared" si="4"/>
        <v>0.17364375000000001</v>
      </c>
      <c r="G9" s="387">
        <f t="shared" si="4"/>
        <v>0.18232593750000003</v>
      </c>
      <c r="H9" s="387">
        <f t="shared" si="4"/>
        <v>0.19144223437500005</v>
      </c>
      <c r="I9" s="387">
        <f t="shared" si="4"/>
        <v>0.20101434609375005</v>
      </c>
      <c r="J9" s="318"/>
      <c r="K9" s="402"/>
      <c r="L9" s="402"/>
    </row>
    <row r="10" spans="1:17">
      <c r="A10" s="114" t="s">
        <v>712</v>
      </c>
      <c r="B10" s="114" t="s">
        <v>713</v>
      </c>
      <c r="C10" s="387">
        <f>+'Input Sheet'!$E$204/100000</f>
        <v>0.1</v>
      </c>
      <c r="D10" s="387">
        <f t="shared" ref="D10:I10" si="5">+$C$10*D3</f>
        <v>0.10500000000000001</v>
      </c>
      <c r="E10" s="387">
        <f t="shared" si="5"/>
        <v>0.11025000000000001</v>
      </c>
      <c r="F10" s="387">
        <f t="shared" si="5"/>
        <v>0.11576250000000002</v>
      </c>
      <c r="G10" s="387">
        <f t="shared" si="5"/>
        <v>0.12155062500000002</v>
      </c>
      <c r="H10" s="387">
        <f t="shared" si="5"/>
        <v>0.12762815625000004</v>
      </c>
      <c r="I10" s="387">
        <f t="shared" si="5"/>
        <v>0.13400956406250006</v>
      </c>
      <c r="J10" s="318"/>
      <c r="K10" s="402"/>
      <c r="L10" s="402"/>
    </row>
    <row r="11" spans="1:17">
      <c r="A11" s="114" t="s">
        <v>714</v>
      </c>
      <c r="B11" s="114" t="s">
        <v>715</v>
      </c>
      <c r="C11" s="387">
        <f>3000*12/100000</f>
        <v>0.36</v>
      </c>
      <c r="D11" s="387">
        <f>+$C11*D$3</f>
        <v>0.378</v>
      </c>
      <c r="E11" s="387">
        <f t="shared" ref="E11:I12" si="6">+$C11*E$3</f>
        <v>0.39689999999999998</v>
      </c>
      <c r="F11" s="387">
        <f t="shared" si="6"/>
        <v>0.41674500000000003</v>
      </c>
      <c r="G11" s="387">
        <f t="shared" si="6"/>
        <v>0.43758225000000006</v>
      </c>
      <c r="H11" s="387">
        <f t="shared" si="6"/>
        <v>0.45946136250000014</v>
      </c>
      <c r="I11" s="387">
        <f t="shared" si="6"/>
        <v>0.48243443062500013</v>
      </c>
      <c r="J11" s="318"/>
      <c r="K11" s="402"/>
      <c r="L11" s="402"/>
    </row>
    <row r="12" spans="1:17">
      <c r="A12" s="114" t="s">
        <v>716</v>
      </c>
      <c r="B12" s="114" t="s">
        <v>715</v>
      </c>
      <c r="C12" s="387">
        <f>3000*12/100000</f>
        <v>0.36</v>
      </c>
      <c r="D12" s="387">
        <f t="shared" ref="D12:I17" si="7">+$C12*D$3</f>
        <v>0.378</v>
      </c>
      <c r="E12" s="387">
        <f t="shared" si="6"/>
        <v>0.39689999999999998</v>
      </c>
      <c r="F12" s="387">
        <f t="shared" si="6"/>
        <v>0.41674500000000003</v>
      </c>
      <c r="G12" s="387">
        <f t="shared" si="6"/>
        <v>0.43758225000000006</v>
      </c>
      <c r="H12" s="387">
        <f t="shared" si="6"/>
        <v>0.45946136250000014</v>
      </c>
      <c r="I12" s="387">
        <f t="shared" si="6"/>
        <v>0.48243443062500013</v>
      </c>
      <c r="J12" s="318"/>
      <c r="K12" s="402"/>
      <c r="L12" s="402"/>
    </row>
    <row r="13" spans="1:17">
      <c r="A13" s="114" t="s">
        <v>717</v>
      </c>
      <c r="B13" s="114" t="s">
        <v>718</v>
      </c>
      <c r="C13" s="387">
        <f>+'Input Sheet'!H181+'Input Sheet'!H182+'Input Sheet'!H183+'Input Sheet'!H184</f>
        <v>2.52</v>
      </c>
      <c r="D13" s="387">
        <f t="shared" si="7"/>
        <v>2.6460000000000004</v>
      </c>
      <c r="E13" s="387">
        <f t="shared" si="7"/>
        <v>2.7783000000000002</v>
      </c>
      <c r="F13" s="387">
        <f t="shared" si="7"/>
        <v>2.9172150000000006</v>
      </c>
      <c r="G13" s="387">
        <f t="shared" si="7"/>
        <v>3.0630757500000008</v>
      </c>
      <c r="H13" s="387">
        <f t="shared" si="7"/>
        <v>3.2162295375000007</v>
      </c>
      <c r="I13" s="387">
        <f t="shared" si="7"/>
        <v>3.3770410143750009</v>
      </c>
      <c r="J13" s="318"/>
      <c r="K13" s="402"/>
      <c r="L13" s="402"/>
    </row>
    <row r="14" spans="1:17">
      <c r="A14" s="114" t="s">
        <v>719</v>
      </c>
      <c r="B14" s="114" t="s">
        <v>720</v>
      </c>
      <c r="C14" s="387">
        <f>5000*12/100000</f>
        <v>0.6</v>
      </c>
      <c r="D14" s="387">
        <f t="shared" si="7"/>
        <v>0.63</v>
      </c>
      <c r="E14" s="387">
        <f t="shared" si="7"/>
        <v>0.66149999999999998</v>
      </c>
      <c r="F14" s="387">
        <f t="shared" si="7"/>
        <v>0.69457500000000005</v>
      </c>
      <c r="G14" s="387">
        <f t="shared" si="7"/>
        <v>0.72930375000000014</v>
      </c>
      <c r="H14" s="387">
        <f t="shared" si="7"/>
        <v>0.76576893750000019</v>
      </c>
      <c r="I14" s="387">
        <f t="shared" si="7"/>
        <v>0.80405738437500018</v>
      </c>
      <c r="J14" s="318"/>
      <c r="K14" s="402"/>
      <c r="L14" s="402"/>
    </row>
    <row r="15" spans="1:17">
      <c r="A15" s="114" t="s">
        <v>721</v>
      </c>
      <c r="B15" s="114" t="s">
        <v>720</v>
      </c>
      <c r="C15" s="387">
        <f>5000*12/100000</f>
        <v>0.6</v>
      </c>
      <c r="D15" s="387">
        <f t="shared" si="7"/>
        <v>0.63</v>
      </c>
      <c r="E15" s="387">
        <f t="shared" si="7"/>
        <v>0.66149999999999998</v>
      </c>
      <c r="F15" s="387">
        <f t="shared" si="7"/>
        <v>0.69457500000000005</v>
      </c>
      <c r="G15" s="387">
        <f t="shared" si="7"/>
        <v>0.72930375000000014</v>
      </c>
      <c r="H15" s="387">
        <f t="shared" si="7"/>
        <v>0.76576893750000019</v>
      </c>
      <c r="I15" s="387">
        <f t="shared" si="7"/>
        <v>0.80405738437500018</v>
      </c>
      <c r="J15" s="318"/>
      <c r="K15" s="402"/>
      <c r="L15" s="402"/>
    </row>
    <row r="16" spans="1:17">
      <c r="A16" s="114" t="s">
        <v>722</v>
      </c>
      <c r="B16" s="114" t="s">
        <v>723</v>
      </c>
      <c r="C16" s="387">
        <v>0.12</v>
      </c>
      <c r="D16" s="387">
        <f t="shared" si="7"/>
        <v>0.126</v>
      </c>
      <c r="E16" s="387">
        <f t="shared" si="7"/>
        <v>0.1323</v>
      </c>
      <c r="F16" s="387">
        <f t="shared" si="7"/>
        <v>0.13891500000000001</v>
      </c>
      <c r="G16" s="387">
        <f t="shared" si="7"/>
        <v>0.14586075000000001</v>
      </c>
      <c r="H16" s="387">
        <f t="shared" si="7"/>
        <v>0.15315378750000003</v>
      </c>
      <c r="I16" s="387">
        <f t="shared" si="7"/>
        <v>0.16081147687500005</v>
      </c>
      <c r="J16" s="318"/>
      <c r="K16" s="402"/>
      <c r="L16" s="402"/>
    </row>
    <row r="17" spans="1:17">
      <c r="A17" s="114" t="s">
        <v>724</v>
      </c>
      <c r="B17" s="114" t="s">
        <v>725</v>
      </c>
      <c r="C17" s="387">
        <f t="shared" ref="C17" si="8">C13*0.1</f>
        <v>0.252</v>
      </c>
      <c r="D17" s="387">
        <f t="shared" si="7"/>
        <v>0.2646</v>
      </c>
      <c r="E17" s="387">
        <f t="shared" si="7"/>
        <v>0.27783000000000002</v>
      </c>
      <c r="F17" s="387">
        <f t="shared" si="7"/>
        <v>0.29172150000000002</v>
      </c>
      <c r="G17" s="387">
        <f t="shared" si="7"/>
        <v>0.30630757500000005</v>
      </c>
      <c r="H17" s="387">
        <f t="shared" si="7"/>
        <v>0.32162295375000011</v>
      </c>
      <c r="I17" s="387">
        <f t="shared" si="7"/>
        <v>0.33770410143750013</v>
      </c>
      <c r="J17" s="318"/>
      <c r="K17" s="402"/>
      <c r="L17" s="402"/>
    </row>
    <row r="18" spans="1:17">
      <c r="A18" s="242" t="s">
        <v>726</v>
      </c>
      <c r="B18" s="311"/>
      <c r="C18" s="388">
        <f t="shared" ref="C18:I18" si="9">SUM(C6:C17)</f>
        <v>5.4519999999999991</v>
      </c>
      <c r="D18" s="388">
        <f t="shared" si="9"/>
        <v>5.7230999999999996</v>
      </c>
      <c r="E18" s="388">
        <f t="shared" si="9"/>
        <v>6.0077550000000004</v>
      </c>
      <c r="F18" s="388">
        <f t="shared" si="9"/>
        <v>6.3066427500000017</v>
      </c>
      <c r="G18" s="388">
        <f t="shared" si="9"/>
        <v>6.6204748875000012</v>
      </c>
      <c r="H18" s="388">
        <f t="shared" si="9"/>
        <v>6.9499986318750011</v>
      </c>
      <c r="I18" s="388">
        <f t="shared" si="9"/>
        <v>7.2959985634687516</v>
      </c>
      <c r="J18" s="319"/>
      <c r="K18" s="403"/>
      <c r="L18" s="403"/>
    </row>
    <row r="20" spans="1:17">
      <c r="A20" s="630"/>
      <c r="B20" s="630"/>
      <c r="C20" s="630"/>
      <c r="D20" s="630"/>
      <c r="E20" s="630"/>
      <c r="F20" s="630"/>
      <c r="G20" s="630"/>
      <c r="H20" s="630"/>
      <c r="I20" s="630"/>
      <c r="J20" s="630"/>
      <c r="K20" s="630"/>
      <c r="L20" s="630"/>
      <c r="M20" s="630"/>
      <c r="N20" s="630"/>
      <c r="O20" s="630"/>
    </row>
    <row r="21" spans="1:17" ht="18.75">
      <c r="A21" s="635" t="s">
        <v>518</v>
      </c>
      <c r="B21" s="635"/>
      <c r="C21" s="635"/>
      <c r="D21" s="635"/>
      <c r="E21" s="635"/>
      <c r="F21" s="635"/>
      <c r="G21" s="635"/>
      <c r="H21" s="635"/>
      <c r="I21" s="635"/>
      <c r="J21" s="635"/>
      <c r="K21" s="635"/>
      <c r="L21" s="635"/>
      <c r="M21" s="635"/>
      <c r="N21" s="635"/>
      <c r="O21" s="635"/>
      <c r="P21" s="635"/>
      <c r="Q21" s="635"/>
    </row>
    <row r="22" spans="1:17">
      <c r="A22" s="104"/>
      <c r="B22" s="104"/>
      <c r="C22" s="383"/>
      <c r="D22" s="383"/>
      <c r="E22" s="383"/>
      <c r="F22" s="383"/>
      <c r="G22" s="383"/>
      <c r="H22" s="383"/>
      <c r="I22" s="383"/>
      <c r="J22" s="104"/>
      <c r="K22" s="383"/>
      <c r="L22" s="383"/>
      <c r="M22" s="383"/>
      <c r="N22" s="383"/>
      <c r="O22" s="383"/>
    </row>
    <row r="23" spans="1:17">
      <c r="A23" s="62"/>
      <c r="B23" s="62"/>
      <c r="C23" s="637" t="s">
        <v>186</v>
      </c>
      <c r="D23" s="637"/>
      <c r="E23" s="637"/>
      <c r="F23" s="637"/>
      <c r="G23" s="637"/>
      <c r="H23" s="637"/>
      <c r="I23" s="637"/>
      <c r="J23" s="62"/>
      <c r="K23" s="638" t="s">
        <v>187</v>
      </c>
      <c r="L23" s="638"/>
      <c r="M23" s="638"/>
      <c r="N23" s="638"/>
      <c r="O23" s="638"/>
      <c r="P23" s="638"/>
      <c r="Q23" s="638"/>
    </row>
    <row r="24" spans="1:17">
      <c r="A24" s="116" t="s">
        <v>0</v>
      </c>
      <c r="B24" s="112"/>
      <c r="C24" s="384" t="s">
        <v>2</v>
      </c>
      <c r="D24" s="384" t="s">
        <v>3</v>
      </c>
      <c r="E24" s="384" t="s">
        <v>4</v>
      </c>
      <c r="F24" s="384" t="s">
        <v>5</v>
      </c>
      <c r="G24" s="384" t="s">
        <v>6</v>
      </c>
      <c r="H24" s="384" t="s">
        <v>164</v>
      </c>
      <c r="I24" s="384" t="s">
        <v>163</v>
      </c>
      <c r="J24" s="117"/>
      <c r="K24" s="384" t="s">
        <v>2</v>
      </c>
      <c r="L24" s="384" t="s">
        <v>3</v>
      </c>
      <c r="M24" s="384" t="s">
        <v>4</v>
      </c>
      <c r="N24" s="384" t="s">
        <v>5</v>
      </c>
      <c r="O24" s="384" t="s">
        <v>6</v>
      </c>
      <c r="P24" s="384" t="s">
        <v>164</v>
      </c>
      <c r="Q24" s="384" t="s">
        <v>163</v>
      </c>
    </row>
    <row r="25" spans="1:17">
      <c r="A25" s="113" t="s">
        <v>188</v>
      </c>
      <c r="B25" s="63"/>
      <c r="C25" s="385"/>
      <c r="D25" s="385"/>
      <c r="E25" s="385"/>
      <c r="F25" s="385"/>
      <c r="G25" s="386"/>
      <c r="H25" s="386"/>
      <c r="I25" s="386"/>
      <c r="J25" s="63"/>
      <c r="K25" s="385"/>
      <c r="L25" s="385"/>
      <c r="M25" s="385"/>
      <c r="N25" s="385"/>
      <c r="O25" s="386"/>
      <c r="P25" s="386"/>
      <c r="Q25" s="386"/>
    </row>
    <row r="26" spans="1:17">
      <c r="A26" s="113"/>
      <c r="B26" s="63"/>
      <c r="C26" s="385"/>
      <c r="D26" s="385"/>
      <c r="E26" s="385"/>
      <c r="F26" s="385"/>
      <c r="G26" s="386"/>
      <c r="H26" s="386"/>
      <c r="I26" s="386"/>
      <c r="J26" s="63"/>
      <c r="K26" s="385"/>
      <c r="L26" s="385"/>
      <c r="M26" s="385"/>
      <c r="N26" s="385"/>
      <c r="O26" s="386"/>
      <c r="P26" s="386"/>
      <c r="Q26" s="386"/>
    </row>
    <row r="27" spans="1:17">
      <c r="A27" s="114"/>
      <c r="B27" s="114"/>
      <c r="C27" s="385"/>
      <c r="D27" s="385"/>
      <c r="E27" s="385"/>
      <c r="F27" s="385"/>
      <c r="G27" s="385"/>
      <c r="H27" s="385"/>
      <c r="I27" s="385"/>
      <c r="J27" s="63"/>
      <c r="K27" s="385"/>
      <c r="L27" s="385"/>
      <c r="M27" s="385"/>
      <c r="N27" s="385"/>
      <c r="O27" s="385"/>
      <c r="P27" s="385"/>
      <c r="Q27" s="385"/>
    </row>
    <row r="28" spans="1:17">
      <c r="A28" s="115" t="s">
        <v>192</v>
      </c>
      <c r="B28" s="115"/>
      <c r="C28" s="385"/>
      <c r="D28" s="385"/>
      <c r="E28" s="385"/>
      <c r="F28" s="385"/>
      <c r="G28" s="385"/>
      <c r="H28" s="385"/>
      <c r="I28" s="385"/>
      <c r="J28" s="63"/>
      <c r="K28" s="385"/>
      <c r="L28" s="385"/>
      <c r="M28" s="385"/>
      <c r="N28" s="385"/>
      <c r="O28" s="385"/>
      <c r="P28" s="385"/>
      <c r="Q28" s="385"/>
    </row>
    <row r="29" spans="1:17">
      <c r="A29" s="114" t="s">
        <v>189</v>
      </c>
      <c r="B29" s="114"/>
      <c r="C29" s="387">
        <f>'1.Project Cost and MOF'!D5</f>
        <v>84.831189999999992</v>
      </c>
      <c r="D29" s="387">
        <f t="shared" ref="D29:I29" si="10">C32</f>
        <v>82.14204127699999</v>
      </c>
      <c r="E29" s="387">
        <f t="shared" si="10"/>
        <v>79.452892553999988</v>
      </c>
      <c r="F29" s="387">
        <f t="shared" si="10"/>
        <v>76.763743830999985</v>
      </c>
      <c r="G29" s="387">
        <f t="shared" si="10"/>
        <v>74.074595107999983</v>
      </c>
      <c r="H29" s="387">
        <f t="shared" si="10"/>
        <v>71.38544638499998</v>
      </c>
      <c r="I29" s="387">
        <f t="shared" si="10"/>
        <v>68.696297661999978</v>
      </c>
      <c r="J29" s="63"/>
      <c r="K29" s="387">
        <f>C29</f>
        <v>84.831189999999992</v>
      </c>
      <c r="L29" s="387">
        <f t="shared" ref="L29:Q29" si="11">K32</f>
        <v>76.34807099999999</v>
      </c>
      <c r="M29" s="387">
        <f t="shared" si="11"/>
        <v>68.713263899999987</v>
      </c>
      <c r="N29" s="387">
        <f t="shared" si="11"/>
        <v>61.841937509999987</v>
      </c>
      <c r="O29" s="387">
        <f t="shared" si="11"/>
        <v>55.657743758999985</v>
      </c>
      <c r="P29" s="387">
        <f t="shared" si="11"/>
        <v>50.091969383099986</v>
      </c>
      <c r="Q29" s="387">
        <f t="shared" si="11"/>
        <v>45.082772444789988</v>
      </c>
    </row>
    <row r="30" spans="1:17">
      <c r="A30" s="114" t="s">
        <v>16</v>
      </c>
      <c r="B30" s="114"/>
      <c r="C30" s="387">
        <f t="shared" ref="C30:I30" si="12">$C$29*$B$66</f>
        <v>2.6891487229999997</v>
      </c>
      <c r="D30" s="387">
        <f t="shared" si="12"/>
        <v>2.6891487229999997</v>
      </c>
      <c r="E30" s="387">
        <f t="shared" si="12"/>
        <v>2.6891487229999997</v>
      </c>
      <c r="F30" s="387">
        <f t="shared" si="12"/>
        <v>2.6891487229999997</v>
      </c>
      <c r="G30" s="387">
        <f t="shared" si="12"/>
        <v>2.6891487229999997</v>
      </c>
      <c r="H30" s="387">
        <f t="shared" si="12"/>
        <v>2.6891487229999997</v>
      </c>
      <c r="I30" s="387">
        <f t="shared" si="12"/>
        <v>2.6891487229999997</v>
      </c>
      <c r="J30" s="63"/>
      <c r="K30" s="387">
        <f t="shared" ref="K30:Q30" si="13">K29*$C$66</f>
        <v>8.4831190000000003</v>
      </c>
      <c r="L30" s="387">
        <f t="shared" si="13"/>
        <v>7.6348070999999997</v>
      </c>
      <c r="M30" s="387">
        <f t="shared" si="13"/>
        <v>6.8713263899999992</v>
      </c>
      <c r="N30" s="387">
        <f t="shared" si="13"/>
        <v>6.1841937509999987</v>
      </c>
      <c r="O30" s="387">
        <f t="shared" si="13"/>
        <v>5.5657743758999985</v>
      </c>
      <c r="P30" s="387">
        <f t="shared" si="13"/>
        <v>5.0091969383099988</v>
      </c>
      <c r="Q30" s="387">
        <f t="shared" si="13"/>
        <v>4.5082772444789994</v>
      </c>
    </row>
    <row r="31" spans="1:17">
      <c r="A31" s="114" t="s">
        <v>190</v>
      </c>
      <c r="B31" s="114"/>
      <c r="C31" s="387">
        <f>C30</f>
        <v>2.6891487229999997</v>
      </c>
      <c r="D31" s="387">
        <f t="shared" ref="D31:I31" si="14">C31+D30</f>
        <v>5.3782974459999995</v>
      </c>
      <c r="E31" s="387">
        <f t="shared" si="14"/>
        <v>8.0674461690000001</v>
      </c>
      <c r="F31" s="387">
        <f t="shared" si="14"/>
        <v>10.756594891999999</v>
      </c>
      <c r="G31" s="387">
        <f t="shared" si="14"/>
        <v>13.445743614999998</v>
      </c>
      <c r="H31" s="387">
        <f t="shared" si="14"/>
        <v>16.134892337999997</v>
      </c>
      <c r="I31" s="387">
        <f t="shared" si="14"/>
        <v>18.824041060999996</v>
      </c>
      <c r="J31" s="63"/>
      <c r="K31" s="387">
        <f>K30</f>
        <v>8.4831190000000003</v>
      </c>
      <c r="L31" s="387">
        <f t="shared" ref="L31:Q31" si="15">K31+L30</f>
        <v>16.117926099999998</v>
      </c>
      <c r="M31" s="387">
        <f t="shared" si="15"/>
        <v>22.989252489999998</v>
      </c>
      <c r="N31" s="387">
        <f t="shared" si="15"/>
        <v>29.173446240999997</v>
      </c>
      <c r="O31" s="387">
        <f t="shared" si="15"/>
        <v>34.739220616899999</v>
      </c>
      <c r="P31" s="387">
        <f t="shared" si="15"/>
        <v>39.748417555209997</v>
      </c>
      <c r="Q31" s="387">
        <f t="shared" si="15"/>
        <v>44.256694799688994</v>
      </c>
    </row>
    <row r="32" spans="1:17">
      <c r="A32" s="114" t="s">
        <v>191</v>
      </c>
      <c r="B32" s="114"/>
      <c r="C32" s="387">
        <f t="shared" ref="C32:I32" si="16">C29-C30</f>
        <v>82.14204127699999</v>
      </c>
      <c r="D32" s="387">
        <f t="shared" si="16"/>
        <v>79.452892553999988</v>
      </c>
      <c r="E32" s="387">
        <f t="shared" si="16"/>
        <v>76.763743830999985</v>
      </c>
      <c r="F32" s="387">
        <f t="shared" si="16"/>
        <v>74.074595107999983</v>
      </c>
      <c r="G32" s="387">
        <f t="shared" si="16"/>
        <v>71.38544638499998</v>
      </c>
      <c r="H32" s="387">
        <f t="shared" si="16"/>
        <v>68.696297661999978</v>
      </c>
      <c r="I32" s="387">
        <f t="shared" si="16"/>
        <v>66.007148938999975</v>
      </c>
      <c r="J32" s="63"/>
      <c r="K32" s="387">
        <f t="shared" ref="K32:Q32" si="17">K29-K30</f>
        <v>76.34807099999999</v>
      </c>
      <c r="L32" s="387">
        <f t="shared" si="17"/>
        <v>68.713263899999987</v>
      </c>
      <c r="M32" s="387">
        <f t="shared" si="17"/>
        <v>61.841937509999987</v>
      </c>
      <c r="N32" s="387">
        <f t="shared" si="17"/>
        <v>55.657743758999985</v>
      </c>
      <c r="O32" s="387">
        <f t="shared" si="17"/>
        <v>50.091969383099986</v>
      </c>
      <c r="P32" s="387">
        <f t="shared" si="17"/>
        <v>45.082772444789988</v>
      </c>
      <c r="Q32" s="387">
        <f t="shared" si="17"/>
        <v>40.574495200310992</v>
      </c>
    </row>
    <row r="33" spans="1:17">
      <c r="A33" s="114"/>
      <c r="B33" s="114"/>
      <c r="C33" s="387"/>
      <c r="D33" s="387"/>
      <c r="E33" s="387"/>
      <c r="F33" s="387"/>
      <c r="G33" s="387"/>
      <c r="H33" s="387"/>
      <c r="I33" s="387"/>
      <c r="J33" s="63"/>
      <c r="K33" s="387"/>
      <c r="L33" s="387"/>
      <c r="M33" s="387"/>
      <c r="N33" s="387"/>
      <c r="O33" s="387"/>
      <c r="P33" s="387"/>
      <c r="Q33" s="387"/>
    </row>
    <row r="34" spans="1:17">
      <c r="A34" s="115" t="s">
        <v>193</v>
      </c>
      <c r="B34" s="115"/>
      <c r="C34" s="387"/>
      <c r="D34" s="387"/>
      <c r="E34" s="387"/>
      <c r="F34" s="387"/>
      <c r="G34" s="387"/>
      <c r="H34" s="387"/>
      <c r="I34" s="387"/>
      <c r="J34" s="63"/>
      <c r="K34" s="387"/>
      <c r="L34" s="387"/>
      <c r="M34" s="387"/>
      <c r="N34" s="387"/>
      <c r="O34" s="387"/>
      <c r="P34" s="387"/>
      <c r="Q34" s="387"/>
    </row>
    <row r="35" spans="1:17">
      <c r="A35" s="114" t="s">
        <v>189</v>
      </c>
      <c r="B35" s="114"/>
      <c r="C35" s="387">
        <f>'1.Project Cost and MOF'!D6</f>
        <v>65.878900000000002</v>
      </c>
      <c r="D35" s="387">
        <f t="shared" ref="D35:I35" si="18">C38</f>
        <v>61.708765630000002</v>
      </c>
      <c r="E35" s="387">
        <f t="shared" si="18"/>
        <v>57.538631260000002</v>
      </c>
      <c r="F35" s="387">
        <f t="shared" si="18"/>
        <v>53.368496890000003</v>
      </c>
      <c r="G35" s="387">
        <f t="shared" si="18"/>
        <v>49.198362520000003</v>
      </c>
      <c r="H35" s="387">
        <f t="shared" si="18"/>
        <v>45.028228150000004</v>
      </c>
      <c r="I35" s="387">
        <f t="shared" si="18"/>
        <v>40.858093780000004</v>
      </c>
      <c r="J35" s="63"/>
      <c r="K35" s="387">
        <f>C35</f>
        <v>65.878900000000002</v>
      </c>
      <c r="L35" s="387">
        <f t="shared" ref="L35:Q35" si="19">K38</f>
        <v>55.997064999999999</v>
      </c>
      <c r="M35" s="387">
        <f t="shared" si="19"/>
        <v>47.597505249999998</v>
      </c>
      <c r="N35" s="387">
        <f t="shared" si="19"/>
        <v>40.457879462499996</v>
      </c>
      <c r="O35" s="387">
        <f t="shared" si="19"/>
        <v>34.389197543124993</v>
      </c>
      <c r="P35" s="387">
        <f t="shared" si="19"/>
        <v>29.230817911656246</v>
      </c>
      <c r="Q35" s="387">
        <f t="shared" si="19"/>
        <v>24.84619522490781</v>
      </c>
    </row>
    <row r="36" spans="1:17">
      <c r="A36" s="114" t="s">
        <v>16</v>
      </c>
      <c r="B36" s="114"/>
      <c r="C36" s="387">
        <f t="shared" ref="C36:I36" si="20">$C$35*$B$70</f>
        <v>4.1701343699999995</v>
      </c>
      <c r="D36" s="387">
        <f t="shared" si="20"/>
        <v>4.1701343699999995</v>
      </c>
      <c r="E36" s="387">
        <f t="shared" si="20"/>
        <v>4.1701343699999995</v>
      </c>
      <c r="F36" s="387">
        <f t="shared" si="20"/>
        <v>4.1701343699999995</v>
      </c>
      <c r="G36" s="387">
        <f t="shared" si="20"/>
        <v>4.1701343699999995</v>
      </c>
      <c r="H36" s="387">
        <f t="shared" si="20"/>
        <v>4.1701343699999995</v>
      </c>
      <c r="I36" s="387">
        <f t="shared" si="20"/>
        <v>4.1701343699999995</v>
      </c>
      <c r="J36" s="63"/>
      <c r="K36" s="387">
        <f t="shared" ref="K36:Q36" si="21">K35*$C$70</f>
        <v>9.8818350000000006</v>
      </c>
      <c r="L36" s="387">
        <f t="shared" si="21"/>
        <v>8.3995597499999999</v>
      </c>
      <c r="M36" s="387">
        <f t="shared" si="21"/>
        <v>7.1396257874999991</v>
      </c>
      <c r="N36" s="387">
        <f t="shared" si="21"/>
        <v>6.068681919374999</v>
      </c>
      <c r="O36" s="387">
        <f t="shared" si="21"/>
        <v>5.1583796314687484</v>
      </c>
      <c r="P36" s="387">
        <f t="shared" si="21"/>
        <v>4.384622686748437</v>
      </c>
      <c r="Q36" s="387">
        <f t="shared" si="21"/>
        <v>3.7269292837361712</v>
      </c>
    </row>
    <row r="37" spans="1:17">
      <c r="A37" s="114" t="s">
        <v>190</v>
      </c>
      <c r="B37" s="114"/>
      <c r="C37" s="387">
        <f>C36</f>
        <v>4.1701343699999995</v>
      </c>
      <c r="D37" s="387">
        <f t="shared" ref="D37:I37" si="22">C37+D36</f>
        <v>8.3402687399999991</v>
      </c>
      <c r="E37" s="387">
        <f t="shared" si="22"/>
        <v>12.510403109999999</v>
      </c>
      <c r="F37" s="387">
        <f t="shared" si="22"/>
        <v>16.680537479999998</v>
      </c>
      <c r="G37" s="387">
        <f t="shared" si="22"/>
        <v>20.850671849999998</v>
      </c>
      <c r="H37" s="387">
        <f t="shared" si="22"/>
        <v>25.020806219999997</v>
      </c>
      <c r="I37" s="387">
        <f t="shared" si="22"/>
        <v>29.190940589999997</v>
      </c>
      <c r="J37" s="63"/>
      <c r="K37" s="387">
        <f>K36</f>
        <v>9.8818350000000006</v>
      </c>
      <c r="L37" s="387">
        <f t="shared" ref="L37:Q37" si="23">K37+L36</f>
        <v>18.28139475</v>
      </c>
      <c r="M37" s="387">
        <f t="shared" si="23"/>
        <v>25.421020537499999</v>
      </c>
      <c r="N37" s="387">
        <f t="shared" si="23"/>
        <v>31.489702456874998</v>
      </c>
      <c r="O37" s="387">
        <f t="shared" si="23"/>
        <v>36.648082088343749</v>
      </c>
      <c r="P37" s="387">
        <f t="shared" si="23"/>
        <v>41.032704775092185</v>
      </c>
      <c r="Q37" s="387">
        <f t="shared" si="23"/>
        <v>44.759634058828354</v>
      </c>
    </row>
    <row r="38" spans="1:17">
      <c r="A38" s="114" t="s">
        <v>191</v>
      </c>
      <c r="B38" s="114"/>
      <c r="C38" s="387">
        <f t="shared" ref="C38:I38" si="24">C35-C36</f>
        <v>61.708765630000002</v>
      </c>
      <c r="D38" s="387">
        <f t="shared" si="24"/>
        <v>57.538631260000002</v>
      </c>
      <c r="E38" s="387">
        <f t="shared" si="24"/>
        <v>53.368496890000003</v>
      </c>
      <c r="F38" s="387">
        <f t="shared" si="24"/>
        <v>49.198362520000003</v>
      </c>
      <c r="G38" s="387">
        <f t="shared" si="24"/>
        <v>45.028228150000004</v>
      </c>
      <c r="H38" s="387">
        <f t="shared" si="24"/>
        <v>40.858093780000004</v>
      </c>
      <c r="I38" s="387">
        <f t="shared" si="24"/>
        <v>36.687959410000005</v>
      </c>
      <c r="J38" s="63"/>
      <c r="K38" s="387">
        <f t="shared" ref="K38:Q38" si="25">K35-K36</f>
        <v>55.997064999999999</v>
      </c>
      <c r="L38" s="387">
        <f t="shared" si="25"/>
        <v>47.597505249999998</v>
      </c>
      <c r="M38" s="387">
        <f t="shared" si="25"/>
        <v>40.457879462499996</v>
      </c>
      <c r="N38" s="387">
        <f t="shared" si="25"/>
        <v>34.389197543124993</v>
      </c>
      <c r="O38" s="387">
        <f t="shared" si="25"/>
        <v>29.230817911656246</v>
      </c>
      <c r="P38" s="387">
        <f t="shared" si="25"/>
        <v>24.84619522490781</v>
      </c>
      <c r="Q38" s="387">
        <f t="shared" si="25"/>
        <v>21.119265941171637</v>
      </c>
    </row>
    <row r="39" spans="1:17">
      <c r="A39" s="114"/>
      <c r="B39" s="114"/>
      <c r="C39" s="387"/>
      <c r="D39" s="387"/>
      <c r="E39" s="387"/>
      <c r="F39" s="387"/>
      <c r="G39" s="387"/>
      <c r="H39" s="387"/>
      <c r="I39" s="387"/>
      <c r="J39" s="63"/>
      <c r="K39" s="387"/>
      <c r="L39" s="387"/>
      <c r="M39" s="387"/>
      <c r="N39" s="387"/>
      <c r="O39" s="387"/>
      <c r="P39" s="387"/>
      <c r="Q39" s="387"/>
    </row>
    <row r="40" spans="1:17" hidden="1">
      <c r="A40" s="115" t="s">
        <v>194</v>
      </c>
      <c r="B40" s="115"/>
      <c r="C40" s="387"/>
      <c r="D40" s="387"/>
      <c r="E40" s="387"/>
      <c r="F40" s="387"/>
      <c r="G40" s="387"/>
      <c r="H40" s="387"/>
      <c r="I40" s="387"/>
      <c r="J40" s="63"/>
      <c r="K40" s="387"/>
      <c r="L40" s="387"/>
      <c r="M40" s="387"/>
      <c r="N40" s="387"/>
      <c r="O40" s="387"/>
      <c r="P40" s="387"/>
      <c r="Q40" s="387"/>
    </row>
    <row r="41" spans="1:17" hidden="1">
      <c r="A41" s="114" t="s">
        <v>189</v>
      </c>
      <c r="B41" s="114"/>
      <c r="C41" s="387">
        <f>'1.Project Cost and MOF'!D7</f>
        <v>0</v>
      </c>
      <c r="D41" s="387">
        <f t="shared" ref="D41:I41" si="26">C44</f>
        <v>0</v>
      </c>
      <c r="E41" s="387">
        <f t="shared" si="26"/>
        <v>0</v>
      </c>
      <c r="F41" s="387">
        <f t="shared" si="26"/>
        <v>0</v>
      </c>
      <c r="G41" s="387">
        <f t="shared" si="26"/>
        <v>0</v>
      </c>
      <c r="H41" s="387">
        <f t="shared" si="26"/>
        <v>0</v>
      </c>
      <c r="I41" s="387">
        <f t="shared" si="26"/>
        <v>0</v>
      </c>
      <c r="J41" s="63"/>
      <c r="K41" s="387">
        <f>C41</f>
        <v>0</v>
      </c>
      <c r="L41" s="387">
        <f t="shared" ref="L41:Q41" si="27">K44</f>
        <v>0</v>
      </c>
      <c r="M41" s="387">
        <f t="shared" si="27"/>
        <v>0</v>
      </c>
      <c r="N41" s="387">
        <f t="shared" si="27"/>
        <v>0</v>
      </c>
      <c r="O41" s="387">
        <f t="shared" si="27"/>
        <v>0</v>
      </c>
      <c r="P41" s="387">
        <f t="shared" si="27"/>
        <v>0</v>
      </c>
      <c r="Q41" s="387">
        <f t="shared" si="27"/>
        <v>0</v>
      </c>
    </row>
    <row r="42" spans="1:17" hidden="1">
      <c r="A42" s="114" t="s">
        <v>16</v>
      </c>
      <c r="B42" s="114"/>
      <c r="C42" s="387">
        <f t="shared" ref="C42:I42" si="28">$C$41*$B$67</f>
        <v>0</v>
      </c>
      <c r="D42" s="387">
        <f t="shared" si="28"/>
        <v>0</v>
      </c>
      <c r="E42" s="387">
        <f t="shared" si="28"/>
        <v>0</v>
      </c>
      <c r="F42" s="387">
        <f t="shared" si="28"/>
        <v>0</v>
      </c>
      <c r="G42" s="387">
        <f t="shared" si="28"/>
        <v>0</v>
      </c>
      <c r="H42" s="387">
        <f t="shared" si="28"/>
        <v>0</v>
      </c>
      <c r="I42" s="387">
        <f t="shared" si="28"/>
        <v>0</v>
      </c>
      <c r="J42" s="63"/>
      <c r="K42" s="387">
        <f t="shared" ref="K42:Q42" si="29">K41*$C$67</f>
        <v>0</v>
      </c>
      <c r="L42" s="387">
        <f t="shared" si="29"/>
        <v>0</v>
      </c>
      <c r="M42" s="387">
        <f t="shared" si="29"/>
        <v>0</v>
      </c>
      <c r="N42" s="387">
        <f t="shared" si="29"/>
        <v>0</v>
      </c>
      <c r="O42" s="387">
        <f t="shared" si="29"/>
        <v>0</v>
      </c>
      <c r="P42" s="387">
        <f t="shared" si="29"/>
        <v>0</v>
      </c>
      <c r="Q42" s="387">
        <f t="shared" si="29"/>
        <v>0</v>
      </c>
    </row>
    <row r="43" spans="1:17" hidden="1">
      <c r="A43" s="114" t="s">
        <v>190</v>
      </c>
      <c r="B43" s="114"/>
      <c r="C43" s="387">
        <f>C42</f>
        <v>0</v>
      </c>
      <c r="D43" s="387">
        <f t="shared" ref="D43:I43" si="30">C43+D42</f>
        <v>0</v>
      </c>
      <c r="E43" s="387">
        <f t="shared" si="30"/>
        <v>0</v>
      </c>
      <c r="F43" s="387">
        <f t="shared" si="30"/>
        <v>0</v>
      </c>
      <c r="G43" s="387">
        <f t="shared" si="30"/>
        <v>0</v>
      </c>
      <c r="H43" s="387">
        <f t="shared" si="30"/>
        <v>0</v>
      </c>
      <c r="I43" s="387">
        <f t="shared" si="30"/>
        <v>0</v>
      </c>
      <c r="J43" s="63"/>
      <c r="K43" s="387">
        <f>K42</f>
        <v>0</v>
      </c>
      <c r="L43" s="387">
        <f t="shared" ref="L43:Q43" si="31">K43+L42</f>
        <v>0</v>
      </c>
      <c r="M43" s="387">
        <f t="shared" si="31"/>
        <v>0</v>
      </c>
      <c r="N43" s="387">
        <f t="shared" si="31"/>
        <v>0</v>
      </c>
      <c r="O43" s="387">
        <f t="shared" si="31"/>
        <v>0</v>
      </c>
      <c r="P43" s="387">
        <f t="shared" si="31"/>
        <v>0</v>
      </c>
      <c r="Q43" s="387">
        <f t="shared" si="31"/>
        <v>0</v>
      </c>
    </row>
    <row r="44" spans="1:17" hidden="1">
      <c r="A44" s="114" t="s">
        <v>191</v>
      </c>
      <c r="B44" s="114"/>
      <c r="C44" s="387">
        <f t="shared" ref="C44:I44" si="32">C41-C42</f>
        <v>0</v>
      </c>
      <c r="D44" s="387">
        <f t="shared" si="32"/>
        <v>0</v>
      </c>
      <c r="E44" s="387">
        <f t="shared" si="32"/>
        <v>0</v>
      </c>
      <c r="F44" s="387">
        <f t="shared" si="32"/>
        <v>0</v>
      </c>
      <c r="G44" s="387">
        <f t="shared" si="32"/>
        <v>0</v>
      </c>
      <c r="H44" s="387">
        <f t="shared" si="32"/>
        <v>0</v>
      </c>
      <c r="I44" s="387">
        <f t="shared" si="32"/>
        <v>0</v>
      </c>
      <c r="J44" s="63"/>
      <c r="K44" s="387">
        <f t="shared" ref="K44:Q44" si="33">K41-K42</f>
        <v>0</v>
      </c>
      <c r="L44" s="387">
        <f t="shared" si="33"/>
        <v>0</v>
      </c>
      <c r="M44" s="387">
        <f t="shared" si="33"/>
        <v>0</v>
      </c>
      <c r="N44" s="387">
        <f t="shared" si="33"/>
        <v>0</v>
      </c>
      <c r="O44" s="387">
        <f t="shared" si="33"/>
        <v>0</v>
      </c>
      <c r="P44" s="387">
        <f t="shared" si="33"/>
        <v>0</v>
      </c>
      <c r="Q44" s="387">
        <f t="shared" si="33"/>
        <v>0</v>
      </c>
    </row>
    <row r="45" spans="1:17" hidden="1">
      <c r="A45" s="114"/>
      <c r="B45" s="114"/>
      <c r="C45" s="387"/>
      <c r="D45" s="387"/>
      <c r="E45" s="387"/>
      <c r="F45" s="387"/>
      <c r="G45" s="387"/>
      <c r="H45" s="387"/>
      <c r="I45" s="387"/>
      <c r="J45" s="63"/>
      <c r="K45" s="387"/>
      <c r="L45" s="387"/>
      <c r="M45" s="387"/>
      <c r="N45" s="387"/>
      <c r="O45" s="387"/>
      <c r="P45" s="387"/>
      <c r="Q45" s="387"/>
    </row>
    <row r="46" spans="1:17" hidden="1">
      <c r="A46" s="115" t="s">
        <v>155</v>
      </c>
      <c r="B46" s="115"/>
      <c r="C46" s="387"/>
      <c r="D46" s="387"/>
      <c r="E46" s="387"/>
      <c r="F46" s="387"/>
      <c r="G46" s="387"/>
      <c r="H46" s="387"/>
      <c r="I46" s="387"/>
      <c r="J46" s="63"/>
      <c r="K46" s="387"/>
      <c r="L46" s="387"/>
      <c r="M46" s="387"/>
      <c r="N46" s="387"/>
      <c r="O46" s="387"/>
      <c r="P46" s="387"/>
      <c r="Q46" s="387"/>
    </row>
    <row r="47" spans="1:17" hidden="1">
      <c r="A47" s="114" t="s">
        <v>189</v>
      </c>
      <c r="B47" s="114"/>
      <c r="C47" s="387">
        <f>'1.Project Cost and MOF'!D9</f>
        <v>0</v>
      </c>
      <c r="D47" s="387">
        <f t="shared" ref="D47:I47" si="34">C50</f>
        <v>0</v>
      </c>
      <c r="E47" s="387">
        <f t="shared" si="34"/>
        <v>0</v>
      </c>
      <c r="F47" s="387">
        <f t="shared" si="34"/>
        <v>0</v>
      </c>
      <c r="G47" s="387">
        <f t="shared" si="34"/>
        <v>0</v>
      </c>
      <c r="H47" s="387">
        <f t="shared" si="34"/>
        <v>0</v>
      </c>
      <c r="I47" s="387">
        <f t="shared" si="34"/>
        <v>0</v>
      </c>
      <c r="J47" s="63"/>
      <c r="K47" s="387">
        <f>C47</f>
        <v>0</v>
      </c>
      <c r="L47" s="387">
        <f t="shared" ref="L47:Q47" si="35">K50</f>
        <v>0</v>
      </c>
      <c r="M47" s="387">
        <f t="shared" si="35"/>
        <v>0</v>
      </c>
      <c r="N47" s="387">
        <f t="shared" si="35"/>
        <v>0</v>
      </c>
      <c r="O47" s="387">
        <f t="shared" si="35"/>
        <v>0</v>
      </c>
      <c r="P47" s="387">
        <f t="shared" si="35"/>
        <v>0</v>
      </c>
      <c r="Q47" s="387">
        <f t="shared" si="35"/>
        <v>0</v>
      </c>
    </row>
    <row r="48" spans="1:17" hidden="1">
      <c r="A48" s="114" t="s">
        <v>16</v>
      </c>
      <c r="B48" s="114"/>
      <c r="C48" s="387">
        <f t="shared" ref="C48:I48" si="36">$C$47*$B$69</f>
        <v>0</v>
      </c>
      <c r="D48" s="387">
        <f t="shared" si="36"/>
        <v>0</v>
      </c>
      <c r="E48" s="387">
        <f t="shared" si="36"/>
        <v>0</v>
      </c>
      <c r="F48" s="387">
        <f t="shared" si="36"/>
        <v>0</v>
      </c>
      <c r="G48" s="387">
        <f t="shared" si="36"/>
        <v>0</v>
      </c>
      <c r="H48" s="387">
        <f t="shared" si="36"/>
        <v>0</v>
      </c>
      <c r="I48" s="387">
        <f t="shared" si="36"/>
        <v>0</v>
      </c>
      <c r="J48" s="63"/>
      <c r="K48" s="387">
        <f t="shared" ref="K48:Q48" si="37">K47*$C$69</f>
        <v>0</v>
      </c>
      <c r="L48" s="387">
        <f t="shared" si="37"/>
        <v>0</v>
      </c>
      <c r="M48" s="387">
        <f t="shared" si="37"/>
        <v>0</v>
      </c>
      <c r="N48" s="387">
        <f t="shared" si="37"/>
        <v>0</v>
      </c>
      <c r="O48" s="387">
        <f t="shared" si="37"/>
        <v>0</v>
      </c>
      <c r="P48" s="387">
        <f t="shared" si="37"/>
        <v>0</v>
      </c>
      <c r="Q48" s="387">
        <f t="shared" si="37"/>
        <v>0</v>
      </c>
    </row>
    <row r="49" spans="1:17" hidden="1">
      <c r="A49" s="114" t="s">
        <v>190</v>
      </c>
      <c r="B49" s="114"/>
      <c r="C49" s="387">
        <f>C48</f>
        <v>0</v>
      </c>
      <c r="D49" s="387">
        <f t="shared" ref="D49:I49" si="38">C49+D48</f>
        <v>0</v>
      </c>
      <c r="E49" s="387">
        <f t="shared" si="38"/>
        <v>0</v>
      </c>
      <c r="F49" s="387">
        <f t="shared" si="38"/>
        <v>0</v>
      </c>
      <c r="G49" s="387">
        <f t="shared" si="38"/>
        <v>0</v>
      </c>
      <c r="H49" s="387">
        <f t="shared" si="38"/>
        <v>0</v>
      </c>
      <c r="I49" s="387">
        <f t="shared" si="38"/>
        <v>0</v>
      </c>
      <c r="J49" s="63"/>
      <c r="K49" s="387">
        <f>K48</f>
        <v>0</v>
      </c>
      <c r="L49" s="387">
        <f t="shared" ref="L49:Q49" si="39">K49+L48</f>
        <v>0</v>
      </c>
      <c r="M49" s="387">
        <f t="shared" si="39"/>
        <v>0</v>
      </c>
      <c r="N49" s="387">
        <f t="shared" si="39"/>
        <v>0</v>
      </c>
      <c r="O49" s="387">
        <f t="shared" si="39"/>
        <v>0</v>
      </c>
      <c r="P49" s="387">
        <f t="shared" si="39"/>
        <v>0</v>
      </c>
      <c r="Q49" s="387">
        <f t="shared" si="39"/>
        <v>0</v>
      </c>
    </row>
    <row r="50" spans="1:17" hidden="1">
      <c r="A50" s="114" t="s">
        <v>191</v>
      </c>
      <c r="B50" s="114"/>
      <c r="C50" s="387">
        <f t="shared" ref="C50:I50" si="40">C47-C48</f>
        <v>0</v>
      </c>
      <c r="D50" s="387">
        <f t="shared" si="40"/>
        <v>0</v>
      </c>
      <c r="E50" s="387">
        <f t="shared" si="40"/>
        <v>0</v>
      </c>
      <c r="F50" s="387">
        <f t="shared" si="40"/>
        <v>0</v>
      </c>
      <c r="G50" s="387">
        <f t="shared" si="40"/>
        <v>0</v>
      </c>
      <c r="H50" s="387">
        <f t="shared" si="40"/>
        <v>0</v>
      </c>
      <c r="I50" s="387">
        <f t="shared" si="40"/>
        <v>0</v>
      </c>
      <c r="J50" s="63"/>
      <c r="K50" s="387">
        <f t="shared" ref="K50:Q50" si="41">K47-K48</f>
        <v>0</v>
      </c>
      <c r="L50" s="387">
        <f t="shared" si="41"/>
        <v>0</v>
      </c>
      <c r="M50" s="387">
        <f t="shared" si="41"/>
        <v>0</v>
      </c>
      <c r="N50" s="387">
        <f t="shared" si="41"/>
        <v>0</v>
      </c>
      <c r="O50" s="387">
        <f t="shared" si="41"/>
        <v>0</v>
      </c>
      <c r="P50" s="387">
        <f t="shared" si="41"/>
        <v>0</v>
      </c>
      <c r="Q50" s="387">
        <f t="shared" si="41"/>
        <v>0</v>
      </c>
    </row>
    <row r="51" spans="1:17" hidden="1">
      <c r="A51" s="114"/>
      <c r="B51" s="114"/>
      <c r="C51" s="387"/>
      <c r="D51" s="387"/>
      <c r="E51" s="387"/>
      <c r="F51" s="387"/>
      <c r="G51" s="387"/>
      <c r="H51" s="387"/>
      <c r="I51" s="387"/>
      <c r="J51" s="63"/>
      <c r="K51" s="387"/>
      <c r="L51" s="387"/>
      <c r="M51" s="387"/>
      <c r="N51" s="387"/>
      <c r="O51" s="387"/>
      <c r="P51" s="387"/>
      <c r="Q51" s="387"/>
    </row>
    <row r="52" spans="1:17" hidden="1">
      <c r="A52" s="242" t="s">
        <v>318</v>
      </c>
      <c r="B52" s="114"/>
      <c r="C52" s="387"/>
      <c r="D52" s="387"/>
      <c r="E52" s="387"/>
      <c r="F52" s="387"/>
      <c r="G52" s="387"/>
      <c r="H52" s="387"/>
      <c r="I52" s="387"/>
      <c r="J52" s="63"/>
      <c r="K52" s="387"/>
      <c r="L52" s="387"/>
      <c r="M52" s="387"/>
      <c r="N52" s="387"/>
      <c r="O52" s="387"/>
      <c r="P52" s="387"/>
      <c r="Q52" s="387"/>
    </row>
    <row r="53" spans="1:17" hidden="1">
      <c r="A53" s="114" t="str">
        <f>A47</f>
        <v>Asset Value</v>
      </c>
      <c r="B53" s="114"/>
      <c r="C53" s="387">
        <f>'1.Project Cost and MOF'!D8</f>
        <v>0</v>
      </c>
      <c r="D53" s="387">
        <f t="shared" ref="D53:I53" si="42">C56</f>
        <v>0</v>
      </c>
      <c r="E53" s="387">
        <f t="shared" si="42"/>
        <v>0</v>
      </c>
      <c r="F53" s="387">
        <f t="shared" si="42"/>
        <v>0</v>
      </c>
      <c r="G53" s="387">
        <f t="shared" si="42"/>
        <v>0</v>
      </c>
      <c r="H53" s="387">
        <f t="shared" si="42"/>
        <v>0</v>
      </c>
      <c r="I53" s="387">
        <f t="shared" si="42"/>
        <v>0</v>
      </c>
      <c r="J53" s="63"/>
      <c r="K53" s="387">
        <f>C53</f>
        <v>0</v>
      </c>
      <c r="L53" s="387">
        <f t="shared" ref="L53:Q53" si="43">K56</f>
        <v>0</v>
      </c>
      <c r="M53" s="387">
        <f t="shared" si="43"/>
        <v>0</v>
      </c>
      <c r="N53" s="387">
        <f t="shared" si="43"/>
        <v>0</v>
      </c>
      <c r="O53" s="387">
        <f t="shared" si="43"/>
        <v>0</v>
      </c>
      <c r="P53" s="387">
        <f t="shared" si="43"/>
        <v>0</v>
      </c>
      <c r="Q53" s="387">
        <f t="shared" si="43"/>
        <v>0</v>
      </c>
    </row>
    <row r="54" spans="1:17" hidden="1">
      <c r="A54" s="114" t="str">
        <f>A48</f>
        <v>Depreciation</v>
      </c>
      <c r="B54" s="114"/>
      <c r="C54" s="387">
        <f t="shared" ref="C54:I54" si="44">$C$53*$B$68</f>
        <v>0</v>
      </c>
      <c r="D54" s="387">
        <f t="shared" si="44"/>
        <v>0</v>
      </c>
      <c r="E54" s="387">
        <f t="shared" si="44"/>
        <v>0</v>
      </c>
      <c r="F54" s="387">
        <f t="shared" si="44"/>
        <v>0</v>
      </c>
      <c r="G54" s="387">
        <f t="shared" si="44"/>
        <v>0</v>
      </c>
      <c r="H54" s="387">
        <f t="shared" si="44"/>
        <v>0</v>
      </c>
      <c r="I54" s="387">
        <f t="shared" si="44"/>
        <v>0</v>
      </c>
      <c r="J54" s="63"/>
      <c r="K54" s="387">
        <f t="shared" ref="K54:Q54" si="45">K53*$C$68</f>
        <v>0</v>
      </c>
      <c r="L54" s="387">
        <f t="shared" si="45"/>
        <v>0</v>
      </c>
      <c r="M54" s="387">
        <f t="shared" si="45"/>
        <v>0</v>
      </c>
      <c r="N54" s="387">
        <f t="shared" si="45"/>
        <v>0</v>
      </c>
      <c r="O54" s="387">
        <f t="shared" si="45"/>
        <v>0</v>
      </c>
      <c r="P54" s="387">
        <f t="shared" si="45"/>
        <v>0</v>
      </c>
      <c r="Q54" s="387">
        <f t="shared" si="45"/>
        <v>0</v>
      </c>
    </row>
    <row r="55" spans="1:17" hidden="1">
      <c r="A55" s="114" t="str">
        <f>A49</f>
        <v>Accumulated Depreciation</v>
      </c>
      <c r="B55" s="114"/>
      <c r="C55" s="387">
        <f>C54</f>
        <v>0</v>
      </c>
      <c r="D55" s="387">
        <f t="shared" ref="D55:I55" si="46">D54+C55</f>
        <v>0</v>
      </c>
      <c r="E55" s="387">
        <f t="shared" si="46"/>
        <v>0</v>
      </c>
      <c r="F55" s="387">
        <f t="shared" si="46"/>
        <v>0</v>
      </c>
      <c r="G55" s="387">
        <f t="shared" si="46"/>
        <v>0</v>
      </c>
      <c r="H55" s="387">
        <f t="shared" si="46"/>
        <v>0</v>
      </c>
      <c r="I55" s="387">
        <f t="shared" si="46"/>
        <v>0</v>
      </c>
      <c r="J55" s="63"/>
      <c r="K55" s="387">
        <f>K54</f>
        <v>0</v>
      </c>
      <c r="L55" s="387">
        <f t="shared" ref="L55:Q55" si="47">L54+K55</f>
        <v>0</v>
      </c>
      <c r="M55" s="387">
        <f t="shared" si="47"/>
        <v>0</v>
      </c>
      <c r="N55" s="387">
        <f t="shared" si="47"/>
        <v>0</v>
      </c>
      <c r="O55" s="387">
        <f t="shared" si="47"/>
        <v>0</v>
      </c>
      <c r="P55" s="387">
        <f t="shared" si="47"/>
        <v>0</v>
      </c>
      <c r="Q55" s="387">
        <f t="shared" si="47"/>
        <v>0</v>
      </c>
    </row>
    <row r="56" spans="1:17" hidden="1">
      <c r="A56" s="114" t="str">
        <f>A50</f>
        <v>Net Fixed Assets</v>
      </c>
      <c r="B56" s="114"/>
      <c r="C56" s="387">
        <f t="shared" ref="C56:I56" si="48">C53-C54</f>
        <v>0</v>
      </c>
      <c r="D56" s="387">
        <f t="shared" si="48"/>
        <v>0</v>
      </c>
      <c r="E56" s="387">
        <f t="shared" si="48"/>
        <v>0</v>
      </c>
      <c r="F56" s="387">
        <f t="shared" si="48"/>
        <v>0</v>
      </c>
      <c r="G56" s="387">
        <f t="shared" si="48"/>
        <v>0</v>
      </c>
      <c r="H56" s="387">
        <f t="shared" si="48"/>
        <v>0</v>
      </c>
      <c r="I56" s="387">
        <f t="shared" si="48"/>
        <v>0</v>
      </c>
      <c r="J56" s="63"/>
      <c r="K56" s="387">
        <f t="shared" ref="K56:Q56" si="49">K53-K54</f>
        <v>0</v>
      </c>
      <c r="L56" s="387">
        <f t="shared" si="49"/>
        <v>0</v>
      </c>
      <c r="M56" s="387">
        <f t="shared" si="49"/>
        <v>0</v>
      </c>
      <c r="N56" s="387">
        <f t="shared" si="49"/>
        <v>0</v>
      </c>
      <c r="O56" s="387">
        <f t="shared" si="49"/>
        <v>0</v>
      </c>
      <c r="P56" s="387">
        <f t="shared" si="49"/>
        <v>0</v>
      </c>
      <c r="Q56" s="387">
        <f t="shared" si="49"/>
        <v>0</v>
      </c>
    </row>
    <row r="57" spans="1:17">
      <c r="A57" s="115" t="s">
        <v>195</v>
      </c>
      <c r="B57" s="115"/>
      <c r="C57" s="388">
        <f t="shared" ref="C57:I60" si="50">C41+C35+C29+C47+C53</f>
        <v>150.71008999999998</v>
      </c>
      <c r="D57" s="388">
        <f t="shared" si="50"/>
        <v>143.85080690699999</v>
      </c>
      <c r="E57" s="388">
        <f t="shared" si="50"/>
        <v>136.991523814</v>
      </c>
      <c r="F57" s="388">
        <f t="shared" si="50"/>
        <v>130.13224072099999</v>
      </c>
      <c r="G57" s="388">
        <f t="shared" si="50"/>
        <v>123.27295762799999</v>
      </c>
      <c r="H57" s="388">
        <f t="shared" si="50"/>
        <v>116.41367453499998</v>
      </c>
      <c r="I57" s="388">
        <f t="shared" si="50"/>
        <v>109.55439144199998</v>
      </c>
      <c r="J57" s="63"/>
      <c r="K57" s="388">
        <f t="shared" ref="K57:Q60" si="51">K41+K35+K29+K47+K53</f>
        <v>150.71008999999998</v>
      </c>
      <c r="L57" s="388">
        <f t="shared" si="51"/>
        <v>132.345136</v>
      </c>
      <c r="M57" s="388">
        <f t="shared" si="51"/>
        <v>116.31076914999998</v>
      </c>
      <c r="N57" s="388">
        <f t="shared" si="51"/>
        <v>102.29981697249998</v>
      </c>
      <c r="O57" s="388">
        <f t="shared" si="51"/>
        <v>90.046941302124978</v>
      </c>
      <c r="P57" s="388">
        <f t="shared" si="51"/>
        <v>79.322787294756239</v>
      </c>
      <c r="Q57" s="388">
        <f t="shared" si="51"/>
        <v>69.928967669697798</v>
      </c>
    </row>
    <row r="58" spans="1:17">
      <c r="A58" s="115" t="s">
        <v>196</v>
      </c>
      <c r="B58" s="115"/>
      <c r="C58" s="388">
        <f t="shared" si="50"/>
        <v>6.8592830929999993</v>
      </c>
      <c r="D58" s="388">
        <f t="shared" si="50"/>
        <v>6.8592830929999993</v>
      </c>
      <c r="E58" s="388">
        <f t="shared" si="50"/>
        <v>6.8592830929999993</v>
      </c>
      <c r="F58" s="388">
        <f t="shared" si="50"/>
        <v>6.8592830929999993</v>
      </c>
      <c r="G58" s="388">
        <f t="shared" si="50"/>
        <v>6.8592830929999993</v>
      </c>
      <c r="H58" s="388">
        <f t="shared" si="50"/>
        <v>6.8592830929999993</v>
      </c>
      <c r="I58" s="388">
        <f t="shared" si="50"/>
        <v>6.8592830929999993</v>
      </c>
      <c r="J58" s="63"/>
      <c r="K58" s="388">
        <f t="shared" si="51"/>
        <v>18.364954000000001</v>
      </c>
      <c r="L58" s="388">
        <f t="shared" si="51"/>
        <v>16.034366849999998</v>
      </c>
      <c r="M58" s="388">
        <f t="shared" si="51"/>
        <v>14.010952177499998</v>
      </c>
      <c r="N58" s="388">
        <f t="shared" si="51"/>
        <v>12.252875670374998</v>
      </c>
      <c r="O58" s="388">
        <f t="shared" si="51"/>
        <v>10.724154007368746</v>
      </c>
      <c r="P58" s="388">
        <f t="shared" si="51"/>
        <v>9.3938196250584358</v>
      </c>
      <c r="Q58" s="388">
        <f t="shared" si="51"/>
        <v>8.235206528215171</v>
      </c>
    </row>
    <row r="59" spans="1:17">
      <c r="A59" s="115" t="s">
        <v>197</v>
      </c>
      <c r="B59" s="115"/>
      <c r="C59" s="388">
        <f t="shared" si="50"/>
        <v>6.8592830929999993</v>
      </c>
      <c r="D59" s="388">
        <f t="shared" si="50"/>
        <v>13.718566185999999</v>
      </c>
      <c r="E59" s="388">
        <f t="shared" si="50"/>
        <v>20.577849278999999</v>
      </c>
      <c r="F59" s="388">
        <f t="shared" si="50"/>
        <v>27.437132371999997</v>
      </c>
      <c r="G59" s="388">
        <f t="shared" si="50"/>
        <v>34.296415464999995</v>
      </c>
      <c r="H59" s="388">
        <f t="shared" si="50"/>
        <v>41.155698557999997</v>
      </c>
      <c r="I59" s="388">
        <f t="shared" si="50"/>
        <v>48.014981650999992</v>
      </c>
      <c r="J59" s="63"/>
      <c r="K59" s="388">
        <f t="shared" si="51"/>
        <v>18.364954000000001</v>
      </c>
      <c r="L59" s="388">
        <f t="shared" si="51"/>
        <v>34.399320849999995</v>
      </c>
      <c r="M59" s="388">
        <f t="shared" si="51"/>
        <v>48.410273027499997</v>
      </c>
      <c r="N59" s="388">
        <f t="shared" si="51"/>
        <v>60.663148697874995</v>
      </c>
      <c r="O59" s="388">
        <f t="shared" si="51"/>
        <v>71.387302705243741</v>
      </c>
      <c r="P59" s="388">
        <f t="shared" si="51"/>
        <v>80.781122330302182</v>
      </c>
      <c r="Q59" s="388">
        <f t="shared" si="51"/>
        <v>89.01632885851734</v>
      </c>
    </row>
    <row r="60" spans="1:17">
      <c r="A60" s="115" t="s">
        <v>191</v>
      </c>
      <c r="B60" s="115"/>
      <c r="C60" s="388">
        <f t="shared" si="50"/>
        <v>143.85080690699999</v>
      </c>
      <c r="D60" s="388">
        <f t="shared" si="50"/>
        <v>136.991523814</v>
      </c>
      <c r="E60" s="388">
        <f t="shared" si="50"/>
        <v>130.13224072099999</v>
      </c>
      <c r="F60" s="388">
        <f t="shared" si="50"/>
        <v>123.27295762799999</v>
      </c>
      <c r="G60" s="388">
        <f t="shared" si="50"/>
        <v>116.41367453499998</v>
      </c>
      <c r="H60" s="388">
        <f t="shared" si="50"/>
        <v>109.55439144199998</v>
      </c>
      <c r="I60" s="388">
        <f t="shared" si="50"/>
        <v>102.69510834899998</v>
      </c>
      <c r="J60" s="63"/>
      <c r="K60" s="388">
        <f t="shared" si="51"/>
        <v>132.345136</v>
      </c>
      <c r="L60" s="388">
        <f t="shared" si="51"/>
        <v>116.31076914999998</v>
      </c>
      <c r="M60" s="388">
        <f t="shared" si="51"/>
        <v>102.29981697249998</v>
      </c>
      <c r="N60" s="388">
        <f t="shared" si="51"/>
        <v>90.046941302124978</v>
      </c>
      <c r="O60" s="388">
        <f t="shared" si="51"/>
        <v>79.322787294756239</v>
      </c>
      <c r="P60" s="388">
        <f t="shared" si="51"/>
        <v>69.928967669697798</v>
      </c>
      <c r="Q60" s="388">
        <f t="shared" si="51"/>
        <v>61.693761141482625</v>
      </c>
    </row>
    <row r="61" spans="1:17">
      <c r="A61" s="118"/>
      <c r="B61" s="118"/>
      <c r="C61" s="389"/>
      <c r="D61" s="389"/>
      <c r="E61" s="389"/>
      <c r="F61" s="389"/>
      <c r="G61" s="389"/>
      <c r="H61" s="389"/>
      <c r="I61" s="389"/>
      <c r="J61" s="62"/>
    </row>
    <row r="62" spans="1:17">
      <c r="A62" s="62"/>
      <c r="B62" s="62"/>
      <c r="C62" s="126"/>
      <c r="D62" s="126"/>
      <c r="E62" s="126"/>
      <c r="F62" s="126"/>
      <c r="G62" s="126"/>
      <c r="H62" s="126"/>
      <c r="I62" s="126"/>
      <c r="J62" s="62"/>
    </row>
    <row r="63" spans="1:17" ht="29.25">
      <c r="A63" s="119" t="s">
        <v>198</v>
      </c>
      <c r="B63" s="120" t="s">
        <v>199</v>
      </c>
      <c r="C63" s="390" t="s">
        <v>200</v>
      </c>
      <c r="D63" s="126"/>
      <c r="E63" s="126"/>
      <c r="F63" s="126"/>
      <c r="G63" s="126"/>
      <c r="H63" s="126"/>
      <c r="I63" s="126"/>
      <c r="J63" s="62"/>
    </row>
    <row r="64" spans="1:17" ht="29.25">
      <c r="A64" s="121" t="s">
        <v>201</v>
      </c>
      <c r="B64" s="120" t="s">
        <v>202</v>
      </c>
      <c r="C64" s="390" t="s">
        <v>203</v>
      </c>
      <c r="D64" s="126"/>
      <c r="E64" s="126"/>
      <c r="F64" s="126"/>
      <c r="G64" s="126"/>
      <c r="H64" s="126"/>
      <c r="I64" s="126"/>
      <c r="J64" s="62"/>
    </row>
    <row r="65" spans="1:18">
      <c r="A65" s="121" t="s">
        <v>143</v>
      </c>
      <c r="B65" s="122">
        <v>0</v>
      </c>
      <c r="C65" s="126">
        <v>0</v>
      </c>
      <c r="D65" s="126"/>
      <c r="E65" s="126"/>
      <c r="F65" s="126"/>
      <c r="G65" s="126"/>
      <c r="H65" s="126"/>
      <c r="I65" s="126"/>
      <c r="J65" s="62"/>
    </row>
    <row r="66" spans="1:18">
      <c r="A66" s="123" t="s">
        <v>192</v>
      </c>
      <c r="B66" s="122">
        <v>3.1699999999999999E-2</v>
      </c>
      <c r="C66" s="126">
        <v>0.1</v>
      </c>
      <c r="D66" s="126"/>
      <c r="E66" s="126"/>
      <c r="F66" s="126"/>
      <c r="G66" s="126"/>
      <c r="H66" s="126"/>
      <c r="I66" s="126"/>
      <c r="J66" s="62"/>
    </row>
    <row r="67" spans="1:18">
      <c r="A67" s="123" t="s">
        <v>194</v>
      </c>
      <c r="B67" s="125">
        <v>0.1</v>
      </c>
      <c r="C67" s="126">
        <v>0.1</v>
      </c>
      <c r="D67" s="126"/>
      <c r="E67" s="126"/>
      <c r="F67" s="126"/>
      <c r="G67" s="126"/>
      <c r="H67" s="126"/>
      <c r="I67" s="126"/>
      <c r="J67" s="62"/>
    </row>
    <row r="68" spans="1:18">
      <c r="A68" s="62" t="s">
        <v>204</v>
      </c>
      <c r="B68" s="125">
        <v>0.1</v>
      </c>
      <c r="C68" s="391">
        <v>0.4</v>
      </c>
      <c r="D68" s="126"/>
      <c r="E68" s="126"/>
      <c r="F68" s="126"/>
      <c r="G68" s="126"/>
      <c r="H68" s="126"/>
      <c r="I68" s="126"/>
      <c r="J68" s="62"/>
    </row>
    <row r="69" spans="1:18">
      <c r="A69" s="62" t="s">
        <v>268</v>
      </c>
      <c r="B69" s="125">
        <v>0.1188</v>
      </c>
      <c r="C69" s="391">
        <v>0.15</v>
      </c>
      <c r="D69" s="126"/>
      <c r="E69" s="126"/>
      <c r="F69" s="126"/>
      <c r="G69" s="126"/>
      <c r="H69" s="126"/>
      <c r="I69" s="126"/>
      <c r="J69" s="62"/>
    </row>
    <row r="70" spans="1:18">
      <c r="A70" s="123" t="s">
        <v>205</v>
      </c>
      <c r="B70" s="125">
        <v>6.3299999999999995E-2</v>
      </c>
      <c r="C70" s="391">
        <v>0.15</v>
      </c>
      <c r="D70" s="126"/>
      <c r="E70" s="126"/>
      <c r="F70" s="126"/>
      <c r="G70" s="126"/>
      <c r="H70" s="126"/>
      <c r="I70" s="126"/>
      <c r="J70" s="62"/>
    </row>
    <row r="71" spans="1:18" ht="29.25">
      <c r="A71" s="121" t="s">
        <v>198</v>
      </c>
      <c r="B71" s="122"/>
      <c r="C71" s="126"/>
      <c r="D71" s="126"/>
      <c r="E71" s="126"/>
      <c r="F71" s="126"/>
      <c r="G71" s="126"/>
      <c r="H71" s="126"/>
      <c r="I71" s="126"/>
      <c r="J71" s="62"/>
    </row>
    <row r="72" spans="1:18">
      <c r="A72" s="123" t="s">
        <v>206</v>
      </c>
      <c r="B72" s="124">
        <v>0.2</v>
      </c>
      <c r="C72" s="126">
        <v>0.2</v>
      </c>
      <c r="D72" s="126"/>
      <c r="E72" s="126"/>
      <c r="F72" s="126"/>
      <c r="G72" s="126"/>
      <c r="H72" s="126"/>
      <c r="I72" s="126"/>
      <c r="J72" s="62"/>
    </row>
    <row r="73" spans="1:18">
      <c r="A73" s="62"/>
      <c r="B73" s="62"/>
      <c r="C73" s="126"/>
      <c r="D73" s="126"/>
      <c r="E73" s="126"/>
      <c r="F73" s="126"/>
      <c r="G73" s="126"/>
      <c r="H73" s="126"/>
      <c r="I73" s="126"/>
      <c r="J73" s="62"/>
    </row>
    <row r="74" spans="1:18">
      <c r="A74" s="62"/>
      <c r="B74" s="62"/>
      <c r="C74" s="126"/>
      <c r="D74" s="126"/>
      <c r="E74" s="392"/>
      <c r="F74" s="126"/>
      <c r="G74" s="126"/>
      <c r="H74" s="126"/>
      <c r="I74" s="126"/>
      <c r="J74" s="62"/>
    </row>
    <row r="75" spans="1:18" s="23" customFormat="1" ht="18.75">
      <c r="A75" s="602" t="s">
        <v>519</v>
      </c>
      <c r="B75" s="602"/>
      <c r="C75" s="602"/>
      <c r="D75" s="602"/>
      <c r="E75" s="602"/>
      <c r="F75" s="602"/>
      <c r="G75" s="602"/>
      <c r="H75" s="602"/>
      <c r="I75" s="602"/>
      <c r="J75" s="602"/>
      <c r="K75" s="393"/>
      <c r="L75" s="393"/>
      <c r="M75" s="393"/>
      <c r="N75" s="393"/>
      <c r="O75" s="393"/>
      <c r="P75" s="393"/>
      <c r="Q75" s="393"/>
      <c r="R75" s="393"/>
    </row>
    <row r="76" spans="1:18" s="23" customFormat="1">
      <c r="A76" s="24"/>
      <c r="B76" s="24"/>
      <c r="C76" s="393"/>
      <c r="D76" s="393"/>
      <c r="E76" s="393"/>
      <c r="F76" s="393"/>
      <c r="G76" s="393"/>
      <c r="H76" s="393"/>
      <c r="I76" s="393"/>
      <c r="K76" s="393"/>
      <c r="L76" s="393"/>
      <c r="M76" s="393"/>
      <c r="N76" s="393"/>
      <c r="O76" s="393"/>
      <c r="P76" s="393"/>
      <c r="Q76" s="393"/>
      <c r="R76" s="393"/>
    </row>
    <row r="77" spans="1:18" s="23" customFormat="1">
      <c r="A77" s="106" t="s">
        <v>0</v>
      </c>
      <c r="B77" s="107" t="s">
        <v>328</v>
      </c>
      <c r="C77" s="394" t="s">
        <v>2</v>
      </c>
      <c r="D77" s="394" t="s">
        <v>3</v>
      </c>
      <c r="E77" s="394" t="s">
        <v>4</v>
      </c>
      <c r="F77" s="394" t="s">
        <v>5</v>
      </c>
      <c r="G77" s="394" t="s">
        <v>6</v>
      </c>
      <c r="H77" s="394" t="s">
        <v>164</v>
      </c>
      <c r="I77" s="394" t="s">
        <v>163</v>
      </c>
      <c r="J77" s="26"/>
      <c r="K77" s="396"/>
      <c r="L77" s="396"/>
      <c r="M77" s="393"/>
      <c r="N77" s="393"/>
      <c r="O77" s="393"/>
      <c r="P77" s="393"/>
      <c r="Q77" s="393"/>
      <c r="R77" s="393"/>
    </row>
    <row r="78" spans="1:18" s="23" customFormat="1">
      <c r="A78" s="108" t="s">
        <v>247</v>
      </c>
      <c r="B78" s="109">
        <v>7</v>
      </c>
      <c r="C78" s="395">
        <f>'1.Project Cost and MOF'!$D$10/$B$78</f>
        <v>1.0765006428571426</v>
      </c>
      <c r="D78" s="395">
        <f>'1.Project Cost and MOF'!$D$10/$B$78</f>
        <v>1.0765006428571426</v>
      </c>
      <c r="E78" s="395">
        <f>'1.Project Cost and MOF'!$D$10/$B$78</f>
        <v>1.0765006428571426</v>
      </c>
      <c r="F78" s="395">
        <f>'1.Project Cost and MOF'!$D$10/$B$78</f>
        <v>1.0765006428571426</v>
      </c>
      <c r="G78" s="395">
        <f>'1.Project Cost and MOF'!$D$10/$B$78</f>
        <v>1.0765006428571426</v>
      </c>
      <c r="H78" s="395">
        <f>'1.Project Cost and MOF'!$D$10/$B$78</f>
        <v>1.0765006428571426</v>
      </c>
      <c r="I78" s="395">
        <f>'1.Project Cost and MOF'!$D$10/$B$78</f>
        <v>1.0765006428571426</v>
      </c>
      <c r="J78" s="26"/>
      <c r="K78" s="396"/>
      <c r="L78" s="396"/>
      <c r="M78" s="393"/>
      <c r="N78" s="393"/>
      <c r="O78" s="393"/>
      <c r="P78" s="393"/>
      <c r="Q78" s="393"/>
      <c r="R78" s="393"/>
    </row>
    <row r="79" spans="1:18" s="23" customFormat="1">
      <c r="A79" s="110" t="s">
        <v>329</v>
      </c>
      <c r="B79" s="111"/>
      <c r="C79" s="388">
        <f t="shared" ref="C79:I79" si="52">SUM(C77:C78)</f>
        <v>1.0765006428571426</v>
      </c>
      <c r="D79" s="388">
        <f t="shared" si="52"/>
        <v>1.0765006428571426</v>
      </c>
      <c r="E79" s="388">
        <f t="shared" si="52"/>
        <v>1.0765006428571426</v>
      </c>
      <c r="F79" s="388">
        <f t="shared" si="52"/>
        <v>1.0765006428571426</v>
      </c>
      <c r="G79" s="388">
        <f t="shared" si="52"/>
        <v>1.0765006428571426</v>
      </c>
      <c r="H79" s="388">
        <f t="shared" si="52"/>
        <v>1.0765006428571426</v>
      </c>
      <c r="I79" s="388">
        <f t="shared" si="52"/>
        <v>1.0765006428571426</v>
      </c>
      <c r="J79" s="42"/>
      <c r="K79" s="399"/>
      <c r="L79" s="399"/>
      <c r="M79" s="393"/>
      <c r="N79" s="393"/>
      <c r="O79" s="393"/>
      <c r="P79" s="393"/>
      <c r="Q79" s="393"/>
      <c r="R79" s="393"/>
    </row>
    <row r="80" spans="1:18" s="23" customFormat="1">
      <c r="C80" s="396"/>
      <c r="D80" s="396"/>
      <c r="E80" s="396"/>
      <c r="F80" s="396"/>
      <c r="G80" s="396"/>
      <c r="H80" s="396"/>
      <c r="I80" s="396"/>
      <c r="J80" s="26"/>
      <c r="K80" s="396"/>
      <c r="L80" s="396"/>
      <c r="M80" s="393"/>
      <c r="N80" s="393"/>
      <c r="O80" s="393"/>
      <c r="P80" s="393"/>
      <c r="Q80" s="393"/>
      <c r="R80" s="393"/>
    </row>
    <row r="83" spans="1:17">
      <c r="A83" s="22"/>
      <c r="B83" s="23"/>
      <c r="C83" s="393"/>
      <c r="D83" s="393"/>
      <c r="E83" s="393"/>
      <c r="F83" s="393"/>
      <c r="G83" s="393"/>
      <c r="H83" s="393"/>
      <c r="I83" s="393"/>
      <c r="J83" s="23"/>
      <c r="K83" s="393"/>
    </row>
    <row r="84" spans="1:17" ht="18.75">
      <c r="A84" s="635" t="s">
        <v>520</v>
      </c>
      <c r="B84" s="635"/>
      <c r="C84" s="635"/>
      <c r="D84" s="635"/>
      <c r="E84" s="635"/>
      <c r="F84" s="635"/>
      <c r="G84" s="635"/>
      <c r="H84" s="635"/>
      <c r="I84" s="397"/>
      <c r="J84" s="105"/>
      <c r="K84" s="397"/>
      <c r="Q84" s="15">
        <v>10000000</v>
      </c>
    </row>
    <row r="85" spans="1:17">
      <c r="A85" s="24"/>
      <c r="B85" s="23"/>
      <c r="C85" s="393"/>
      <c r="D85" s="393"/>
      <c r="E85" s="393"/>
      <c r="F85" s="393"/>
      <c r="G85" s="393"/>
      <c r="H85" s="393"/>
      <c r="I85" s="393"/>
      <c r="J85" s="23"/>
      <c r="K85" s="393"/>
      <c r="Q85" s="15">
        <f>+Q84*2%</f>
        <v>200000</v>
      </c>
    </row>
    <row r="86" spans="1:17">
      <c r="A86" s="103" t="s">
        <v>0</v>
      </c>
      <c r="B86" s="83" t="s">
        <v>2</v>
      </c>
      <c r="C86" s="398" t="s">
        <v>3</v>
      </c>
      <c r="D86" s="398" t="s">
        <v>4</v>
      </c>
      <c r="E86" s="398" t="s">
        <v>5</v>
      </c>
      <c r="F86" s="398" t="s">
        <v>6</v>
      </c>
      <c r="G86" s="398" t="s">
        <v>164</v>
      </c>
      <c r="H86" s="398" t="s">
        <v>163</v>
      </c>
      <c r="I86" s="399"/>
      <c r="J86" s="19"/>
      <c r="K86" s="399"/>
    </row>
    <row r="87" spans="1:17">
      <c r="A87" s="48" t="s">
        <v>219</v>
      </c>
      <c r="B87" s="408">
        <f>'6.Cons Profit &amp; Loss'!B54</f>
        <v>30.498861635464927</v>
      </c>
      <c r="C87" s="408">
        <f>'6.Cons Profit &amp; Loss'!C54</f>
        <v>33.029542540397557</v>
      </c>
      <c r="D87" s="408">
        <f>'6.Cons Profit &amp; Loss'!D54</f>
        <v>35.690163185565005</v>
      </c>
      <c r="E87" s="408">
        <f>'6.Cons Profit &amp; Loss'!E54</f>
        <v>38.483175713758264</v>
      </c>
      <c r="F87" s="408">
        <f>'6.Cons Profit &amp; Loss'!F54</f>
        <v>41.029732864011336</v>
      </c>
      <c r="G87" s="408">
        <f>'6.Cons Profit &amp; Loss'!G54</f>
        <v>47.804046305044956</v>
      </c>
      <c r="H87" s="408">
        <f>'6.Cons Profit &amp; Loss'!H54</f>
        <v>54.481704127012023</v>
      </c>
      <c r="I87" s="400"/>
      <c r="J87" s="25"/>
      <c r="K87" s="400"/>
    </row>
    <row r="88" spans="1:17">
      <c r="A88" s="48" t="s">
        <v>220</v>
      </c>
      <c r="B88" s="408">
        <f>'6.Cons Profit &amp; Loss'!B46</f>
        <v>6.8592830929999993</v>
      </c>
      <c r="C88" s="408">
        <f>'6.Cons Profit &amp; Loss'!C46</f>
        <v>6.8592830929999993</v>
      </c>
      <c r="D88" s="408">
        <f>'6.Cons Profit &amp; Loss'!D46</f>
        <v>6.8592830929999993</v>
      </c>
      <c r="E88" s="408">
        <f>'6.Cons Profit &amp; Loss'!E46</f>
        <v>6.8592830929999993</v>
      </c>
      <c r="F88" s="408">
        <f>'6.Cons Profit &amp; Loss'!F46</f>
        <v>6.8592830929999993</v>
      </c>
      <c r="G88" s="408">
        <f>'6.Cons Profit &amp; Loss'!G46</f>
        <v>6.8592830929999993</v>
      </c>
      <c r="H88" s="408">
        <f>'6.Cons Profit &amp; Loss'!H46</f>
        <v>6.8592830929999993</v>
      </c>
      <c r="I88" s="400"/>
      <c r="J88" s="25"/>
      <c r="K88" s="400"/>
    </row>
    <row r="89" spans="1:17">
      <c r="A89" s="48" t="s">
        <v>221</v>
      </c>
      <c r="B89" s="408">
        <f>'3.Other Exp &amp; Taxes'!K58</f>
        <v>18.364954000000001</v>
      </c>
      <c r="C89" s="408">
        <f>'3.Other Exp &amp; Taxes'!L58</f>
        <v>16.034366849999998</v>
      </c>
      <c r="D89" s="408">
        <f>'3.Other Exp &amp; Taxes'!M58</f>
        <v>14.010952177499998</v>
      </c>
      <c r="E89" s="408">
        <f>'3.Other Exp &amp; Taxes'!N58</f>
        <v>12.252875670374998</v>
      </c>
      <c r="F89" s="408">
        <f>'3.Other Exp &amp; Taxes'!O58</f>
        <v>10.724154007368746</v>
      </c>
      <c r="G89" s="408">
        <f>'3.Other Exp &amp; Taxes'!P58</f>
        <v>9.3938196250584358</v>
      </c>
      <c r="H89" s="408">
        <f>'3.Other Exp &amp; Taxes'!Q58</f>
        <v>8.235206528215171</v>
      </c>
      <c r="I89" s="400"/>
      <c r="J89" s="25"/>
      <c r="K89" s="400"/>
    </row>
    <row r="90" spans="1:17">
      <c r="A90" s="48" t="s">
        <v>280</v>
      </c>
      <c r="B90" s="408">
        <f t="shared" ref="B90:H90" si="53">B87+B88-B89</f>
        <v>18.993190728464928</v>
      </c>
      <c r="C90" s="408">
        <f t="shared" si="53"/>
        <v>23.854458783397561</v>
      </c>
      <c r="D90" s="408">
        <f t="shared" si="53"/>
        <v>28.538494101065009</v>
      </c>
      <c r="E90" s="408">
        <f t="shared" si="53"/>
        <v>33.089583136383268</v>
      </c>
      <c r="F90" s="408">
        <f t="shared" si="53"/>
        <v>37.164861949642592</v>
      </c>
      <c r="G90" s="408">
        <f t="shared" si="53"/>
        <v>45.269509772986524</v>
      </c>
      <c r="H90" s="408">
        <f t="shared" si="53"/>
        <v>53.105780691796852</v>
      </c>
      <c r="I90" s="400"/>
      <c r="J90" s="25"/>
      <c r="K90" s="400"/>
    </row>
    <row r="91" spans="1:17">
      <c r="A91" s="514" t="s">
        <v>222</v>
      </c>
      <c r="B91" s="515">
        <f>+$B$94*B90</f>
        <v>4.9382295894008816</v>
      </c>
      <c r="C91" s="515">
        <f t="shared" ref="C91:H91" si="54">+$B$94*C90</f>
        <v>6.2021592836833666</v>
      </c>
      <c r="D91" s="515">
        <f t="shared" si="54"/>
        <v>7.4200084662769026</v>
      </c>
      <c r="E91" s="515">
        <f t="shared" si="54"/>
        <v>8.6032916154596499</v>
      </c>
      <c r="F91" s="515">
        <f t="shared" si="54"/>
        <v>9.6628641069070742</v>
      </c>
      <c r="G91" s="515">
        <f t="shared" si="54"/>
        <v>11.770072540976496</v>
      </c>
      <c r="H91" s="515">
        <f t="shared" si="54"/>
        <v>13.807502979867182</v>
      </c>
      <c r="I91" s="400"/>
      <c r="J91" s="25"/>
      <c r="K91" s="400"/>
    </row>
    <row r="92" spans="1:17">
      <c r="A92" s="517"/>
      <c r="B92" s="518"/>
      <c r="C92" s="393"/>
      <c r="D92" s="393"/>
      <c r="E92" s="393"/>
      <c r="F92" s="393"/>
      <c r="G92" s="393"/>
      <c r="H92" s="393"/>
      <c r="I92" s="393"/>
      <c r="J92" s="23"/>
      <c r="K92" s="393"/>
    </row>
    <row r="93" spans="1:17">
      <c r="A93" s="516"/>
      <c r="B93" s="26"/>
      <c r="C93" s="396"/>
      <c r="D93" s="396"/>
      <c r="E93" s="396"/>
      <c r="F93" s="396"/>
      <c r="G93" s="396"/>
      <c r="H93" s="396"/>
      <c r="I93" s="396"/>
      <c r="J93" s="26"/>
      <c r="K93" s="396"/>
    </row>
    <row r="94" spans="1:17">
      <c r="A94" s="19" t="s">
        <v>380</v>
      </c>
      <c r="B94" s="209">
        <v>0.26</v>
      </c>
      <c r="C94" s="396"/>
      <c r="D94" s="396"/>
      <c r="E94" s="396"/>
      <c r="F94" s="396"/>
      <c r="G94" s="396"/>
      <c r="H94" s="396"/>
      <c r="I94" s="396"/>
      <c r="J94" s="26"/>
      <c r="K94" s="396"/>
    </row>
    <row r="95" spans="1:17">
      <c r="A95" s="23"/>
      <c r="B95" s="23"/>
      <c r="C95" s="393"/>
      <c r="D95" s="393"/>
      <c r="E95" s="393"/>
      <c r="F95" s="393"/>
      <c r="G95" s="393"/>
      <c r="H95" s="393"/>
      <c r="I95" s="393"/>
      <c r="J95" s="23"/>
      <c r="K95" s="393"/>
    </row>
    <row r="96" spans="1:17" ht="29.1" customHeight="1">
      <c r="A96" s="636" t="s">
        <v>408</v>
      </c>
      <c r="B96" s="636"/>
      <c r="C96" s="636"/>
      <c r="D96" s="636"/>
      <c r="E96" s="636"/>
      <c r="F96" s="636"/>
      <c r="G96" s="636"/>
      <c r="H96" s="636"/>
      <c r="I96" s="393"/>
      <c r="J96" s="21"/>
      <c r="K96" s="393"/>
    </row>
  </sheetData>
  <mergeCells count="8">
    <mergeCell ref="A2:I2"/>
    <mergeCell ref="A75:J75"/>
    <mergeCell ref="A84:H84"/>
    <mergeCell ref="A96:H96"/>
    <mergeCell ref="A20:O20"/>
    <mergeCell ref="C23:I23"/>
    <mergeCell ref="K23:Q23"/>
    <mergeCell ref="A21:Q21"/>
  </mergeCells>
  <pageMargins left="0.7" right="0.7" top="0.75" bottom="0.75" header="0.3" footer="0.3"/>
  <pageSetup paperSize="9" scale="51" orientation="portrait" r:id="rId1"/>
  <colBreaks count="1" manualBreakCount="1">
    <brk id="10" max="1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4.TL repayment sch</vt:lpstr>
      <vt:lpstr>5.Closing Stock &amp; W Capital</vt:lpstr>
      <vt:lpstr>6.Cons Profit &amp; Loss</vt:lpstr>
      <vt:lpstr>7.Balance Sheet</vt:lpstr>
      <vt:lpstr>8.Cash Flow </vt:lpstr>
      <vt:lpstr>3.Other Exp &amp; Taxes</vt:lpstr>
      <vt:lpstr>10.Grain Production details</vt:lpstr>
      <vt:lpstr>11.F&amp;V Crop Production details</vt:lpstr>
      <vt:lpstr>9. Financial indiacators</vt:lpstr>
      <vt:lpstr>12.Facility 1 - Trading</vt:lpstr>
      <vt:lpstr>17.Facility 6 Horti Processing </vt:lpstr>
      <vt:lpstr>14. Facility 3 Warehouse</vt:lpstr>
      <vt:lpstr>15. Facility 4 Custom Hiring</vt:lpstr>
      <vt:lpstr>16.Facility 5 Agri Input</vt:lpstr>
      <vt:lpstr>13.Facility 2 Grain Processing-</vt:lpstr>
      <vt:lpstr>Input Sheet</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2023-03-29T13:08:34Z</dcterms:modified>
  <cp:contentStatus/>
</cp:coreProperties>
</file>